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60" yWindow="855" windowWidth="15360" windowHeight="8115" tabRatio="868" activeTab="0"/>
  </bookViews>
  <sheets>
    <sheet name="Cover" sheetId="1" r:id="rId1"/>
    <sheet name="Multiples" sheetId="2" r:id="rId2"/>
    <sheet name="Steel segment" sheetId="3" r:id="rId3"/>
    <sheet name="Long products segment" sheetId="4" r:id="rId4"/>
    <sheet name="Mining segment" sheetId="5" r:id="rId5"/>
    <sheet name="Foreign rolled products segment" sheetId="6" r:id="rId6"/>
    <sheet name="Other segment" sheetId="7" r:id="rId7"/>
    <sheet name="P&amp;L" sheetId="8" r:id="rId8"/>
    <sheet name="CashFlow" sheetId="9" r:id="rId9"/>
    <sheet name="Balance Sheet" sheetId="10" r:id="rId10"/>
  </sheets>
  <definedNames>
    <definedName name="Выручка_отчетный_период" localSheetId="7">'P&amp;L'!$BD$9</definedName>
    <definedName name="_xlnm.Print_Area" localSheetId="9">'Balance Sheet'!$A$1:$AR$51</definedName>
    <definedName name="_xlnm.Print_Area" localSheetId="8">'CashFlow'!$A$1:$AR$77</definedName>
    <definedName name="_xlnm.Print_Area" localSheetId="5">'Foreign rolled products segment'!$A$1:$Y$51</definedName>
    <definedName name="_xlnm.Print_Area" localSheetId="3">'Long products segment'!$A$1:$AS$50</definedName>
    <definedName name="_xlnm.Print_Area" localSheetId="4">'Mining segment'!$A$1:$AS$48</definedName>
    <definedName name="_xlnm.Print_Area" localSheetId="1">'Multiples'!$A$1:$AS$22</definedName>
    <definedName name="_xlnm.Print_Area" localSheetId="6">'Other segment'!$A$1:$AS$14</definedName>
    <definedName name="_xlnm.Print_Area" localSheetId="7">'P&amp;L'!$A$1:$AS$62</definedName>
    <definedName name="_xlnm.Print_Area" localSheetId="2">'Steel segment'!$A$1:$AS$56</definedName>
  </definedNames>
  <calcPr fullCalcOnLoad="1"/>
</workbook>
</file>

<file path=xl/sharedStrings.xml><?xml version="1.0" encoding="utf-8"?>
<sst xmlns="http://schemas.openxmlformats.org/spreadsheetml/2006/main" count="1581" uniqueCount="275">
  <si>
    <t>1Q07</t>
  </si>
  <si>
    <t>P&amp;L (USDm)</t>
  </si>
  <si>
    <t>EBITDA</t>
  </si>
  <si>
    <t>Operating income</t>
  </si>
  <si>
    <t>EBITDA Margin (%)</t>
  </si>
  <si>
    <t>Operating margin (%)</t>
  </si>
  <si>
    <t>1Q06</t>
  </si>
  <si>
    <t>Minority interest</t>
  </si>
  <si>
    <t>Net income</t>
  </si>
  <si>
    <t>Net financial debt</t>
  </si>
  <si>
    <t>Net Debt / EBITDA (x)</t>
  </si>
  <si>
    <t>EPS reported (USD)</t>
  </si>
  <si>
    <t>Cash-flow from operation per share (USD)</t>
  </si>
  <si>
    <t>Net margin (%)</t>
  </si>
  <si>
    <t xml:space="preserve">Operating margin (%) </t>
  </si>
  <si>
    <t>Steel Shipment (000t)</t>
  </si>
  <si>
    <t>Steel products</t>
  </si>
  <si>
    <t>Steel segment</t>
  </si>
  <si>
    <t>9M07</t>
  </si>
  <si>
    <t>H107</t>
  </si>
  <si>
    <t>H106</t>
  </si>
  <si>
    <t>9M06</t>
  </si>
  <si>
    <t>12M06</t>
  </si>
  <si>
    <t>Iron ore products</t>
  </si>
  <si>
    <t>Other segment</t>
  </si>
  <si>
    <t xml:space="preserve">Mining segment </t>
  </si>
  <si>
    <t>Sales to external customers</t>
  </si>
  <si>
    <t>pig iron</t>
  </si>
  <si>
    <t>slabs</t>
  </si>
  <si>
    <t>iron ore concentrate</t>
  </si>
  <si>
    <t>sinter ore</t>
  </si>
  <si>
    <t>Basic and diluted earnings per common share (USD)</t>
  </si>
  <si>
    <t xml:space="preserve">Cash flow from operating activities </t>
  </si>
  <si>
    <t>Adjustments to reconcile net income to net cash provided by operating activities</t>
  </si>
  <si>
    <t>Depreciation and amortization</t>
  </si>
  <si>
    <t>Loss on disposals of property, plant and equipment</t>
  </si>
  <si>
    <t>(Gain)/loss on investments</t>
  </si>
  <si>
    <t xml:space="preserve">Gain from disposal of subsidiaries </t>
  </si>
  <si>
    <t>Gain from operations of discontinued subsidiary</t>
  </si>
  <si>
    <t>Equity in net earnings of associate</t>
  </si>
  <si>
    <t>Impairment losses</t>
  </si>
  <si>
    <t>Accretion expense on asset retirement obligations</t>
  </si>
  <si>
    <t>Other movements</t>
  </si>
  <si>
    <t>Changes in operating assets and liabilities</t>
  </si>
  <si>
    <t>Increase in loans provide by the subsidiary bank</t>
  </si>
  <si>
    <t>Increase/(decrease) in current income tax payable</t>
  </si>
  <si>
    <t xml:space="preserve">Cash flow from investing activities </t>
  </si>
  <si>
    <t>Acquisitions of subsidiaries</t>
  </si>
  <si>
    <t>Acquisitions of associates</t>
  </si>
  <si>
    <t>Proceeds from disposal of discontinued operations</t>
  </si>
  <si>
    <t>Proceeds from adjustment of the original purchase price of subsidiaries</t>
  </si>
  <si>
    <t>Proceeds from sale of property, plant and equipment</t>
  </si>
  <si>
    <t>Purchases and construction of property, plant and equipment</t>
  </si>
  <si>
    <t>Proceeds from sale of investments</t>
  </si>
  <si>
    <t>Loan issued</t>
  </si>
  <si>
    <t>Movement of restricted cash</t>
  </si>
  <si>
    <t>Net cash used in investing activities</t>
  </si>
  <si>
    <t xml:space="preserve">Cash flow from financing activities </t>
  </si>
  <si>
    <t>Proceeds from borrowings and notes payable</t>
  </si>
  <si>
    <t>Repayments of borrowings and notes payable</t>
  </si>
  <si>
    <t>Capital lease payments</t>
  </si>
  <si>
    <t>Proceeds from disposal of assets to the company under common control</t>
  </si>
  <si>
    <t>Contributions from controlling shareholders</t>
  </si>
  <si>
    <t>Payments to controlling shareholders for transfer of interests in subsidiary</t>
  </si>
  <si>
    <t>Dividends paid to minority shareholder of existing subsidiaries</t>
  </si>
  <si>
    <t>Dividends to shareholders</t>
  </si>
  <si>
    <t>Net cash used in financing activities</t>
  </si>
  <si>
    <t>Net increase / (decrease) in cash and cash equivalents</t>
  </si>
  <si>
    <t>Effect of exchange rate changes on cash and cash equivalents</t>
  </si>
  <si>
    <t>Cash and cash equivalents at the beginning of the period</t>
  </si>
  <si>
    <t>Cash and cash equivalents at the end of the period</t>
  </si>
  <si>
    <t>Sales revenue</t>
  </si>
  <si>
    <t>Production cost</t>
  </si>
  <si>
    <t>Gross profit</t>
  </si>
  <si>
    <t>General, administrative and selling expenses</t>
  </si>
  <si>
    <t>General and administrative expenses</t>
  </si>
  <si>
    <t>Selling expenses</t>
  </si>
  <si>
    <t>Taxes other than income tax</t>
  </si>
  <si>
    <t>Other income/(expense)</t>
  </si>
  <si>
    <t>Gain / (loss) on investments</t>
  </si>
  <si>
    <t>Interest income</t>
  </si>
  <si>
    <t>Interest expense</t>
  </si>
  <si>
    <t>Foreign currency exchange loss, net</t>
  </si>
  <si>
    <t>Gain from disposal of subsidiaries</t>
  </si>
  <si>
    <t>Other expense, net</t>
  </si>
  <si>
    <t>Income from continuing operations before income tax</t>
  </si>
  <si>
    <t>and minority interest</t>
  </si>
  <si>
    <t>Income tax</t>
  </si>
  <si>
    <t>Income from continuing operations before minority interest</t>
  </si>
  <si>
    <t>Income from continuing operations</t>
  </si>
  <si>
    <t>Discontinued operations</t>
  </si>
  <si>
    <t xml:space="preserve">Gain from operations of discontinued subsidiary </t>
  </si>
  <si>
    <t>Income from discontinuing operations</t>
  </si>
  <si>
    <t>EBITDA margin %</t>
  </si>
  <si>
    <t>Operating margin %</t>
  </si>
  <si>
    <t xml:space="preserve">Base Dividend per share (USD) </t>
  </si>
  <si>
    <t>ASSETS</t>
  </si>
  <si>
    <t>Current  assets</t>
  </si>
  <si>
    <t>Cash and cash equivalents</t>
  </si>
  <si>
    <t>Short-term investments</t>
  </si>
  <si>
    <t>Accounts receivable, net</t>
  </si>
  <si>
    <t>Inventories, net</t>
  </si>
  <si>
    <t>Other current assets, net</t>
  </si>
  <si>
    <t>Restricted cash</t>
  </si>
  <si>
    <t>Current assets, held for sale</t>
  </si>
  <si>
    <t xml:space="preserve">Non-current assets </t>
  </si>
  <si>
    <t>Long-term investments, net</t>
  </si>
  <si>
    <t>Property, plant and equipment, net</t>
  </si>
  <si>
    <t>Intangible assets</t>
  </si>
  <si>
    <t>Goodwill</t>
  </si>
  <si>
    <t>Other non-current assets, net</t>
  </si>
  <si>
    <t>Non-current assets, held for sale</t>
  </si>
  <si>
    <t>Total assets</t>
  </si>
  <si>
    <t>LIABILITIES AND STOCKHOLDERS’ EQUITY</t>
  </si>
  <si>
    <t>Current liabilities</t>
  </si>
  <si>
    <t>Accounts payable and other liabilities</t>
  </si>
  <si>
    <t>Short-term borrowings</t>
  </si>
  <si>
    <t>Current income tax liability</t>
  </si>
  <si>
    <t>Current liabilities, held for sale</t>
  </si>
  <si>
    <t>Non-current liabilities</t>
  </si>
  <si>
    <t>Long-term borrowings</t>
  </si>
  <si>
    <t>Deferred income tax liability</t>
  </si>
  <si>
    <t>Other long-term liabilities</t>
  </si>
  <si>
    <t>Non-current liabilities, held for sale</t>
  </si>
  <si>
    <t>Total liabilities</t>
  </si>
  <si>
    <t>Stockholders’ equity</t>
  </si>
  <si>
    <t>Common stock</t>
  </si>
  <si>
    <t>Statutory reserve</t>
  </si>
  <si>
    <t>Additional paid-in capital</t>
  </si>
  <si>
    <t>Other comprehensive income</t>
  </si>
  <si>
    <t>Retained earnings</t>
  </si>
  <si>
    <t>Total liabilities and stockholders’ equity</t>
  </si>
  <si>
    <t>CF (USDm)</t>
  </si>
  <si>
    <t>Operating income / CAPEX</t>
  </si>
  <si>
    <t>CAPEX / Amortisation</t>
  </si>
  <si>
    <t>flat</t>
  </si>
  <si>
    <t>12M07</t>
  </si>
  <si>
    <t xml:space="preserve">сhange </t>
  </si>
  <si>
    <t xml:space="preserve">Depreciation and amortisation </t>
  </si>
  <si>
    <t>n/a</t>
  </si>
  <si>
    <t xml:space="preserve">Cash cost of slabs (USD/t) </t>
  </si>
  <si>
    <t>-</t>
  </si>
  <si>
    <t>Cash acquired in business combination</t>
  </si>
  <si>
    <t>Dividends paid to minority shareholder of acquired subsidiaries</t>
  </si>
  <si>
    <t>Cash included in assets, held for sale</t>
  </si>
  <si>
    <t>31.12.2007</t>
  </si>
  <si>
    <t>(`000 USD)</t>
  </si>
  <si>
    <t xml:space="preserve">Book value per share (USD) </t>
  </si>
  <si>
    <t>Base dividend per share (USD)</t>
  </si>
  <si>
    <t xml:space="preserve">Cash cost of iron ore concentrate (USD/t) </t>
  </si>
  <si>
    <t xml:space="preserve">Operating income per tonne of iron ore (USD/t) </t>
  </si>
  <si>
    <t>billets</t>
  </si>
  <si>
    <t>long products</t>
  </si>
  <si>
    <t>metalware</t>
  </si>
  <si>
    <t xml:space="preserve">Operating income per tonne of steel products (USD/t) </t>
  </si>
  <si>
    <t>Steel production</t>
  </si>
  <si>
    <t>Steel shipments to external customers, incl.</t>
  </si>
  <si>
    <t>Iron ore shipments to external customers, incl.</t>
  </si>
  <si>
    <t xml:space="preserve">Operating income per tonne of steel (USD/t) </t>
  </si>
  <si>
    <t>Iron ore total sales (`000 tonnes)</t>
  </si>
  <si>
    <t>1Q08</t>
  </si>
  <si>
    <t xml:space="preserve">Disposal of subsidiaries, net of cash disposed </t>
  </si>
  <si>
    <t>Payment for acquisition of interests in new subsidiaries</t>
  </si>
  <si>
    <t>H108</t>
  </si>
  <si>
    <t>9M08</t>
  </si>
  <si>
    <t>12M08</t>
  </si>
  <si>
    <t>31.12.2008</t>
  </si>
  <si>
    <t>12М08</t>
  </si>
  <si>
    <t>Loss /(income) on forward contracts</t>
  </si>
  <si>
    <t>Settlement agreement on the dispute</t>
  </si>
  <si>
    <t>Cash in assets held for sale</t>
  </si>
  <si>
    <t>Prepayment for disposal of assets to a company under common control</t>
  </si>
  <si>
    <t>1Q09</t>
  </si>
  <si>
    <t xml:space="preserve">Net income (income attributable to OJSC Novolipetsk Steel stockholders) </t>
  </si>
  <si>
    <t>Deferred income tax assets</t>
  </si>
  <si>
    <t>Settlement of abandoned acquisition</t>
  </si>
  <si>
    <t>Defered income tax (benefit)/expense</t>
  </si>
  <si>
    <t>Decrease / (increase) in accounts receivable</t>
  </si>
  <si>
    <t>Decrease / (increase) in inventories</t>
  </si>
  <si>
    <t>Increase in other current assets</t>
  </si>
  <si>
    <t>(Decrease) / increase in accounts payable and other liabilities</t>
  </si>
  <si>
    <t>H109</t>
  </si>
  <si>
    <t>Placement of bank deposits and purchases of other investments</t>
  </si>
  <si>
    <t>9M09</t>
  </si>
  <si>
    <t>12M2009</t>
  </si>
  <si>
    <t>12M09</t>
  </si>
  <si>
    <t>31.12.2009</t>
  </si>
  <si>
    <t>1Q10</t>
  </si>
  <si>
    <t>1Q2010</t>
  </si>
  <si>
    <r>
      <t>Selling price for external customers (USD/t)</t>
    </r>
    <r>
      <rPr>
        <b/>
        <vertAlign val="superscript"/>
        <sz val="8"/>
        <rFont val="Calibri"/>
        <family val="2"/>
      </rPr>
      <t>3</t>
    </r>
  </si>
  <si>
    <r>
      <t>1</t>
    </r>
    <r>
      <rPr>
        <sz val="8"/>
        <rFont val="Calibri"/>
        <family val="2"/>
      </rPr>
      <t>All figures are shown since consolidation.</t>
    </r>
  </si>
  <si>
    <r>
      <t>Cash cost of slabs (USD/t)</t>
    </r>
    <r>
      <rPr>
        <sz val="8"/>
        <color indexed="10"/>
        <rFont val="Calibri"/>
        <family val="2"/>
      </rPr>
      <t xml:space="preserve"> </t>
    </r>
  </si>
  <si>
    <r>
      <t>Steel shipments to external customers, incl.</t>
    </r>
    <r>
      <rPr>
        <vertAlign val="superscript"/>
        <sz val="8"/>
        <rFont val="Calibri"/>
        <family val="2"/>
      </rPr>
      <t>1</t>
    </r>
  </si>
  <si>
    <r>
      <t xml:space="preserve">1 </t>
    </r>
    <r>
      <rPr>
        <sz val="8"/>
        <color indexed="63"/>
        <rFont val="Calibri"/>
        <family val="2"/>
      </rPr>
      <t>Not include long products sales</t>
    </r>
  </si>
  <si>
    <r>
      <t xml:space="preserve">2 </t>
    </r>
    <r>
      <rPr>
        <sz val="8"/>
        <color indexed="63"/>
        <rFont val="Calibri"/>
        <family val="2"/>
      </rPr>
      <t>Parent Company prices with freight charge.</t>
    </r>
  </si>
  <si>
    <r>
      <t>Long products segment</t>
    </r>
    <r>
      <rPr>
        <b/>
        <vertAlign val="superscript"/>
        <sz val="10"/>
        <color indexed="63"/>
        <rFont val="Calibri"/>
        <family val="2"/>
      </rPr>
      <t>1</t>
    </r>
  </si>
  <si>
    <r>
      <t>Steel Shipment (000t)</t>
    </r>
    <r>
      <rPr>
        <b/>
        <vertAlign val="superscript"/>
        <sz val="8"/>
        <color indexed="63"/>
        <rFont val="Calibri"/>
        <family val="2"/>
      </rPr>
      <t>2</t>
    </r>
  </si>
  <si>
    <r>
      <t>2</t>
    </r>
    <r>
      <rPr>
        <sz val="8"/>
        <rFont val="Calibri"/>
        <family val="2"/>
      </rPr>
      <t xml:space="preserve"> Including long products sales through trading companies </t>
    </r>
  </si>
  <si>
    <r>
      <t>3</t>
    </r>
    <r>
      <rPr>
        <sz val="8"/>
        <rFont val="Calibri"/>
        <family val="2"/>
      </rPr>
      <t xml:space="preserve"> Long steel division prices </t>
    </r>
  </si>
  <si>
    <t xml:space="preserve">Financial and operating performance </t>
  </si>
  <si>
    <t xml:space="preserve">Based on US GAAP consolidated financial results </t>
  </si>
  <si>
    <t>H12010</t>
  </si>
  <si>
    <t>H110</t>
  </si>
  <si>
    <t>EBITDA/tonne of steel produced</t>
  </si>
  <si>
    <t>9M2010</t>
  </si>
  <si>
    <t>9M10</t>
  </si>
  <si>
    <t>12M10</t>
  </si>
  <si>
    <t>12M2010</t>
  </si>
  <si>
    <t>31.12.2010</t>
  </si>
  <si>
    <t>metallware</t>
  </si>
  <si>
    <t>1Q11</t>
  </si>
  <si>
    <t>H111</t>
  </si>
  <si>
    <t>H12011</t>
  </si>
  <si>
    <t>9M11</t>
  </si>
  <si>
    <t>9M2011</t>
  </si>
  <si>
    <t>9M11*</t>
  </si>
  <si>
    <t>31.12.2011</t>
  </si>
  <si>
    <t>12M2011</t>
  </si>
  <si>
    <t>12M11</t>
  </si>
  <si>
    <t>Coke</t>
  </si>
  <si>
    <t>* Since July 2011 Coke-chemical segment is part of Steel segment, NLMK Dansteel and NLMK Indiana are part of Foreign rolled products segment</t>
  </si>
  <si>
    <t>plate</t>
  </si>
  <si>
    <t>Rolled products</t>
  </si>
  <si>
    <t xml:space="preserve">Operating income per tonne of rolled products (USD/t) </t>
  </si>
  <si>
    <t>Net income (before non-controlling interest)</t>
  </si>
  <si>
    <t>1Q12</t>
  </si>
  <si>
    <r>
      <t>Iron ore Shipment (000t)</t>
    </r>
    <r>
      <rPr>
        <b/>
        <vertAlign val="superscript"/>
        <sz val="8"/>
        <color indexed="63"/>
        <rFont val="Calibri"/>
        <family val="2"/>
      </rPr>
      <t>1</t>
    </r>
  </si>
  <si>
    <r>
      <t>Selling price for external customers (USD/t)</t>
    </r>
    <r>
      <rPr>
        <b/>
        <vertAlign val="superscript"/>
        <sz val="8"/>
        <rFont val="Calibri"/>
        <family val="2"/>
      </rPr>
      <t>2</t>
    </r>
  </si>
  <si>
    <r>
      <t>1</t>
    </r>
    <r>
      <rPr>
        <sz val="8"/>
        <rFont val="Calibri"/>
        <family val="2"/>
      </rPr>
      <t xml:space="preserve"> Including sales through trading companies </t>
    </r>
  </si>
  <si>
    <r>
      <t>2</t>
    </r>
    <r>
      <rPr>
        <sz val="8"/>
        <rFont val="Calibri"/>
        <family val="2"/>
      </rPr>
      <t xml:space="preserve"> Stoilensky prices </t>
    </r>
  </si>
  <si>
    <t>H12012</t>
  </si>
  <si>
    <t>H112</t>
  </si>
  <si>
    <t>Rolled products Shipment (000t)</t>
  </si>
  <si>
    <t>Rolled products shipments to external customers, incl.</t>
  </si>
  <si>
    <t>Selling price for external customers (USD/t)</t>
  </si>
  <si>
    <t>slabs and ingots</t>
  </si>
  <si>
    <r>
      <t>Steel products</t>
    </r>
    <r>
      <rPr>
        <vertAlign val="superscript"/>
        <sz val="8"/>
        <rFont val="Calibri"/>
        <family val="2"/>
      </rPr>
      <t xml:space="preserve">2 </t>
    </r>
  </si>
  <si>
    <r>
      <t>Coke</t>
    </r>
    <r>
      <rPr>
        <vertAlign val="superscript"/>
        <sz val="8"/>
        <rFont val="Calibri"/>
        <family val="2"/>
      </rPr>
      <t>3</t>
    </r>
  </si>
  <si>
    <t>* Since July 2011 NLMK Dansteel and NLMK Indiana are part of Foreign rolled products segment</t>
  </si>
  <si>
    <t>Foreign rolled products segment*</t>
  </si>
  <si>
    <t>9M2012</t>
  </si>
  <si>
    <t>9M12</t>
  </si>
  <si>
    <t>12M2012</t>
  </si>
  <si>
    <t>31.12.2012</t>
  </si>
  <si>
    <t>12M12</t>
  </si>
  <si>
    <t>1Q13</t>
  </si>
  <si>
    <t>Acquisition of additional stake in existing subsidiary</t>
  </si>
  <si>
    <t>H113</t>
  </si>
  <si>
    <t>*to ensure comparability, Q1'13 operating cash flow is adjusted to the classification used in H1'13. Interest income from placing cash in deposits in H1'13 is included into cash flow from investing activities. In the statements published in Q1'13, this interest income was included into operating cash flow. </t>
  </si>
  <si>
    <t>Withdrawal of banks deposits, net</t>
  </si>
  <si>
    <t>Proceeds from sale/(purchases) of investments, net</t>
  </si>
  <si>
    <t>9M2013</t>
  </si>
  <si>
    <t>9M13</t>
  </si>
  <si>
    <t>Interest received</t>
  </si>
  <si>
    <t>Interest paid</t>
  </si>
  <si>
    <t>Сash provided from operating activities</t>
  </si>
  <si>
    <t>Net cash provided from operating activities</t>
  </si>
  <si>
    <t>Disposal of investments</t>
  </si>
  <si>
    <t>12M2013</t>
  </si>
  <si>
    <t>12M13</t>
  </si>
  <si>
    <t>31.12.2013</t>
  </si>
  <si>
    <t>KEY INDICATORS</t>
  </si>
  <si>
    <t>Supplementary ratios</t>
  </si>
  <si>
    <t>Supplementary indicators</t>
  </si>
  <si>
    <t>Debt to Equity ratio (%) *</t>
  </si>
  <si>
    <t>* Debt to Equity ratio = Total Debt/Total Equity</t>
  </si>
  <si>
    <t>1Q14</t>
  </si>
  <si>
    <t xml:space="preserve">Minus: Net income (attributable to the non-controlling interest) </t>
  </si>
  <si>
    <r>
      <t xml:space="preserve">3 </t>
    </r>
    <r>
      <rPr>
        <sz val="8"/>
        <color indexed="63"/>
        <rFont val="Calibri"/>
        <family val="2"/>
      </rPr>
      <t>Altai-Koks prices (incl. revenues from by-product sales) with freight charge</t>
    </r>
  </si>
  <si>
    <t>H114</t>
  </si>
  <si>
    <t>2005 - Q2 2014</t>
  </si>
  <si>
    <t>Income / (loss), net of income tax</t>
  </si>
  <si>
    <t>Margin, %</t>
  </si>
  <si>
    <t>Intersegment revenue</t>
  </si>
  <si>
    <t>Revenue</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</si>
</sst>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0.0"/>
    <numFmt numFmtId="184" formatCode="#,##0.0000"/>
    <numFmt numFmtId="185" formatCode="0.0000"/>
    <numFmt numFmtId="186" formatCode="0.000"/>
    <numFmt numFmtId="187" formatCode="_(* #,##0_);_(* \(#,##0\);_(* &quot;-&quot;??_);_(@_)"/>
    <numFmt numFmtId="188" formatCode="dd/mm/yy;@"/>
    <numFmt numFmtId="189" formatCode="mmm/yyyy"/>
    <numFmt numFmtId="190" formatCode="0.000000"/>
    <numFmt numFmtId="191" formatCode="0.00000"/>
    <numFmt numFmtId="192" formatCode="_(* #,##0.00_);_(* \(#,##0.00\);_(* &quot;-&quot;_);_(@_)"/>
    <numFmt numFmtId="193" formatCode="_(* #,##0.0_);_(* \(#,##0.0\);_(* &quot;-&quot;??_);_(@_)"/>
    <numFmt numFmtId="194" formatCode="_(* #,##0.000_);_(* \(#,##0.000\);_(* &quot;-&quot;??_);_(@_)"/>
    <numFmt numFmtId="195" formatCode="_(* #,##0.0000_);_(* \(#,##0.0000\);_(* &quot;-&quot;??_);_(@_)"/>
  </numFmts>
  <fonts count="90">
    <font>
      <sz val="10"/>
      <name val="Arial"/>
      <family val="0"/>
    </font>
    <font>
      <sz val="11"/>
      <color indexed="8"/>
      <name val="Calibri"/>
      <family val="2"/>
    </font>
    <font>
      <sz val="8"/>
      <name val="Arial"/>
      <family val="2"/>
    </font>
    <font>
      <sz val="10"/>
      <name val="Arial Cyr"/>
      <family val="0"/>
    </font>
    <font>
      <sz val="11"/>
      <name val="Times New Roman Cyr"/>
      <family val="0"/>
    </font>
    <font>
      <b/>
      <vertAlign val="superscript"/>
      <sz val="8"/>
      <color indexed="63"/>
      <name val="Calibri"/>
      <family val="2"/>
    </font>
    <font>
      <sz val="8"/>
      <name val="Calibri"/>
      <family val="2"/>
    </font>
    <font>
      <sz val="8"/>
      <color indexed="63"/>
      <name val="Calibri"/>
      <family val="2"/>
    </font>
    <font>
      <b/>
      <vertAlign val="superscript"/>
      <sz val="8"/>
      <name val="Calibri"/>
      <family val="2"/>
    </font>
    <font>
      <vertAlign val="superscript"/>
      <sz val="8"/>
      <name val="Calibri"/>
      <family val="2"/>
    </font>
    <font>
      <sz val="8"/>
      <color indexed="10"/>
      <name val="Calibri"/>
      <family val="2"/>
    </font>
    <font>
      <b/>
      <vertAlign val="superscript"/>
      <sz val="10"/>
      <color indexed="63"/>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b/>
      <sz val="8"/>
      <color indexed="63"/>
      <name val="Calibri"/>
      <family val="2"/>
    </font>
    <font>
      <b/>
      <sz val="8"/>
      <name val="Calibri"/>
      <family val="2"/>
    </font>
    <font>
      <i/>
      <sz val="8"/>
      <name val="Calibri"/>
      <family val="2"/>
    </font>
    <font>
      <i/>
      <sz val="8"/>
      <color indexed="63"/>
      <name val="Calibri"/>
      <family val="2"/>
    </font>
    <font>
      <i/>
      <sz val="10"/>
      <name val="Calibri"/>
      <family val="2"/>
    </font>
    <font>
      <i/>
      <sz val="8"/>
      <color indexed="53"/>
      <name val="Calibri"/>
      <family val="2"/>
    </font>
    <font>
      <sz val="8"/>
      <color indexed="53"/>
      <name val="Calibri"/>
      <family val="2"/>
    </font>
    <font>
      <sz val="10"/>
      <color indexed="63"/>
      <name val="Calibri"/>
      <family val="2"/>
    </font>
    <font>
      <i/>
      <sz val="8"/>
      <color indexed="10"/>
      <name val="Calibri"/>
      <family val="2"/>
    </font>
    <font>
      <i/>
      <sz val="10"/>
      <color indexed="10"/>
      <name val="Calibri"/>
      <family val="2"/>
    </font>
    <font>
      <sz val="9"/>
      <color indexed="30"/>
      <name val="Calibri"/>
      <family val="2"/>
    </font>
    <font>
      <b/>
      <i/>
      <sz val="8"/>
      <name val="Calibri"/>
      <family val="2"/>
    </font>
    <font>
      <b/>
      <sz val="8"/>
      <color indexed="8"/>
      <name val="Calibri"/>
      <family val="2"/>
    </font>
    <font>
      <sz val="8"/>
      <color indexed="8"/>
      <name val="Calibri"/>
      <family val="2"/>
    </font>
    <font>
      <sz val="8"/>
      <color indexed="48"/>
      <name val="Calibri"/>
      <family val="2"/>
    </font>
    <font>
      <b/>
      <i/>
      <sz val="8"/>
      <color indexed="8"/>
      <name val="Calibri"/>
      <family val="2"/>
    </font>
    <font>
      <b/>
      <i/>
      <u val="single"/>
      <sz val="10"/>
      <name val="Calibri"/>
      <family val="2"/>
    </font>
    <font>
      <sz val="12"/>
      <name val="Calibri"/>
      <family val="2"/>
    </font>
    <font>
      <b/>
      <sz val="8"/>
      <color indexed="9"/>
      <name val="Calibri"/>
      <family val="2"/>
    </font>
    <font>
      <b/>
      <sz val="10"/>
      <color indexed="63"/>
      <name val="Calibri"/>
      <family val="2"/>
    </font>
    <font>
      <b/>
      <sz val="10"/>
      <color indexed="10"/>
      <name val="Calibri"/>
      <family val="2"/>
    </font>
    <font>
      <sz val="10"/>
      <color indexed="10"/>
      <name val="Calibri"/>
      <family val="2"/>
    </font>
    <font>
      <sz val="10"/>
      <color indexed="57"/>
      <name val="Calibri"/>
      <family val="2"/>
    </font>
    <font>
      <sz val="8"/>
      <color indexed="57"/>
      <name val="Calibri"/>
      <family val="2"/>
    </font>
    <font>
      <b/>
      <sz val="10"/>
      <color indexed="53"/>
      <name val="Calibri"/>
      <family val="2"/>
    </font>
    <font>
      <i/>
      <sz val="10"/>
      <color indexed="63"/>
      <name val="Calibri"/>
      <family val="2"/>
    </font>
    <font>
      <vertAlign val="superscript"/>
      <sz val="8"/>
      <color indexed="63"/>
      <name val="Calibri"/>
      <family val="2"/>
    </font>
    <font>
      <sz val="10"/>
      <color indexed="53"/>
      <name val="Calibri"/>
      <family val="2"/>
    </font>
    <font>
      <b/>
      <sz val="16"/>
      <color indexed="9"/>
      <name val="Calibri"/>
      <family val="2"/>
    </font>
    <font>
      <sz val="10"/>
      <color indexed="9"/>
      <name val="Calibri"/>
      <family val="2"/>
    </font>
    <font>
      <vertAlign val="superscript"/>
      <sz val="8"/>
      <color indexed="10"/>
      <name val="Calibri"/>
      <family val="2"/>
    </font>
    <font>
      <b/>
      <sz val="12"/>
      <name val="Calibri"/>
      <family val="2"/>
    </font>
    <font>
      <sz val="36"/>
      <color indexed="62"/>
      <name val="Calibri"/>
      <family val="0"/>
    </font>
    <font>
      <b/>
      <sz val="24"/>
      <color indexed="63"/>
      <name val="Calibri"/>
      <family val="0"/>
    </font>
    <font>
      <sz val="11"/>
      <color indexed="63"/>
      <name val="Calibri"/>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Calibri"/>
      <family val="2"/>
    </font>
    <font>
      <b/>
      <sz val="16"/>
      <color theme="0"/>
      <name val="Calibri"/>
      <family val="2"/>
    </font>
    <font>
      <sz val="10"/>
      <color theme="0"/>
      <name val="Calibri"/>
      <family val="2"/>
    </font>
    <font>
      <vertAlign val="superscript"/>
      <sz val="8"/>
      <color rgb="FFFF0000"/>
      <name val="Calibri"/>
      <family val="2"/>
    </font>
    <font>
      <i/>
      <sz val="8"/>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4" tint="-0.4999699890613556"/>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thin"/>
    </border>
    <border>
      <left/>
      <right/>
      <top/>
      <bottom style="thin"/>
    </border>
    <border>
      <left/>
      <right/>
      <top style="medium">
        <color indexed="32"/>
      </top>
      <bottom style="medium">
        <color indexed="32"/>
      </bottom>
    </border>
    <border>
      <left/>
      <right/>
      <top style="thin">
        <color indexed="44"/>
      </top>
      <bottom style="thin">
        <color indexed="44"/>
      </bottom>
    </border>
    <border>
      <left/>
      <right/>
      <top style="thin">
        <color indexed="44"/>
      </top>
      <bottom/>
    </border>
    <border>
      <left/>
      <right/>
      <top/>
      <bottom style="thin">
        <color indexed="44"/>
      </bottom>
    </border>
    <border>
      <left/>
      <right/>
      <top/>
      <bottom style="medium">
        <color indexed="18"/>
      </bottom>
    </border>
    <border>
      <left/>
      <right/>
      <top style="medium">
        <color indexed="18"/>
      </top>
      <bottom style="medium">
        <color indexed="18"/>
      </bottom>
    </border>
    <border>
      <left/>
      <right/>
      <top style="medium">
        <color indexed="18"/>
      </top>
      <bottom/>
    </border>
    <border>
      <left/>
      <right/>
      <top style="thin"/>
      <bottom/>
    </border>
    <border>
      <left/>
      <right/>
      <top/>
      <bottom style="thin">
        <color theme="3"/>
      </botto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4" fillId="0" borderId="0">
      <alignment/>
      <protection/>
    </xf>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7" borderId="1" applyNumberFormat="0" applyAlignment="0" applyProtection="0"/>
    <xf numFmtId="0" fontId="7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28" borderId="7" applyNumberFormat="0" applyAlignment="0" applyProtection="0"/>
    <xf numFmtId="0" fontId="77" fillId="0" borderId="0" applyNumberFormat="0" applyFill="0" applyBorder="0" applyAlignment="0" applyProtection="0"/>
    <xf numFmtId="0" fontId="78" fillId="29"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0" fillId="0" borderId="0">
      <alignment/>
      <protection/>
    </xf>
    <xf numFmtId="0" fontId="79" fillId="0" borderId="0" applyNumberFormat="0" applyFill="0" applyBorder="0" applyAlignment="0" applyProtection="0"/>
    <xf numFmtId="0" fontId="80" fillId="30" borderId="0" applyNumberFormat="0" applyBorder="0" applyAlignment="0" applyProtection="0"/>
    <xf numFmtId="0" fontId="8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4" fillId="32" borderId="0" applyNumberFormat="0" applyBorder="0" applyAlignment="0" applyProtection="0"/>
  </cellStyleXfs>
  <cellXfs count="339">
    <xf numFmtId="0" fontId="0" fillId="0" borderId="0" xfId="0" applyAlignment="1">
      <alignment/>
    </xf>
    <xf numFmtId="0" fontId="30" fillId="0" borderId="0" xfId="0" applyFont="1" applyAlignment="1">
      <alignment/>
    </xf>
    <xf numFmtId="0" fontId="31" fillId="0" borderId="10" xfId="0" applyFont="1" applyBorder="1" applyAlignment="1">
      <alignment/>
    </xf>
    <xf numFmtId="0" fontId="31" fillId="0" borderId="10" xfId="0" applyFont="1" applyFill="1" applyBorder="1" applyAlignment="1">
      <alignment horizontal="right"/>
    </xf>
    <xf numFmtId="0" fontId="31" fillId="0" borderId="10" xfId="0" applyFont="1" applyBorder="1" applyAlignment="1">
      <alignment horizontal="right"/>
    </xf>
    <xf numFmtId="0" fontId="32" fillId="0" borderId="10" xfId="0" applyFont="1" applyFill="1" applyBorder="1" applyAlignment="1">
      <alignment horizontal="right"/>
    </xf>
    <xf numFmtId="0" fontId="32" fillId="0" borderId="0" xfId="0" applyFont="1" applyFill="1" applyBorder="1" applyAlignment="1">
      <alignment horizontal="right"/>
    </xf>
    <xf numFmtId="0" fontId="6" fillId="0" borderId="0" xfId="0" applyFont="1" applyBorder="1" applyAlignment="1">
      <alignment/>
    </xf>
    <xf numFmtId="3" fontId="7" fillId="0" borderId="0" xfId="0" applyNumberFormat="1" applyFont="1" applyFill="1" applyBorder="1" applyAlignment="1">
      <alignment horizontal="right" wrapText="1"/>
    </xf>
    <xf numFmtId="0" fontId="33" fillId="0" borderId="0" xfId="0" applyFont="1" applyBorder="1" applyAlignment="1">
      <alignment horizontal="right"/>
    </xf>
    <xf numFmtId="9" fontId="34" fillId="0" borderId="0" xfId="73" applyNumberFormat="1" applyFont="1" applyBorder="1" applyAlignment="1">
      <alignment horizontal="right"/>
    </xf>
    <xf numFmtId="180" fontId="34" fillId="0" borderId="0" xfId="73" applyNumberFormat="1" applyFont="1" applyBorder="1" applyAlignment="1">
      <alignment horizontal="right"/>
    </xf>
    <xf numFmtId="180" fontId="34" fillId="0" borderId="0" xfId="73" applyNumberFormat="1" applyFont="1" applyFill="1" applyBorder="1" applyAlignment="1">
      <alignment horizontal="right"/>
    </xf>
    <xf numFmtId="180" fontId="33" fillId="0" borderId="0" xfId="73" applyNumberFormat="1" applyFont="1" applyBorder="1" applyAlignment="1">
      <alignment horizontal="right"/>
    </xf>
    <xf numFmtId="9" fontId="34" fillId="0" borderId="0" xfId="73" applyNumberFormat="1" applyFont="1" applyFill="1" applyBorder="1" applyAlignment="1">
      <alignment horizontal="right"/>
    </xf>
    <xf numFmtId="0" fontId="35" fillId="0" borderId="0" xfId="0" applyFont="1" applyAlignment="1">
      <alignment/>
    </xf>
    <xf numFmtId="9" fontId="6" fillId="0" borderId="11" xfId="73" applyNumberFormat="1" applyFont="1" applyFill="1" applyBorder="1" applyAlignment="1">
      <alignment horizontal="right"/>
    </xf>
    <xf numFmtId="9" fontId="6" fillId="0" borderId="0" xfId="73" applyNumberFormat="1" applyFont="1" applyFill="1" applyBorder="1" applyAlignment="1">
      <alignment horizontal="right"/>
    </xf>
    <xf numFmtId="0" fontId="7" fillId="0" borderId="0" xfId="0" applyFont="1" applyBorder="1" applyAlignment="1">
      <alignment/>
    </xf>
    <xf numFmtId="9" fontId="7" fillId="0" borderId="0" xfId="73" applyNumberFormat="1" applyFont="1" applyFill="1" applyBorder="1" applyAlignment="1">
      <alignment horizontal="right"/>
    </xf>
    <xf numFmtId="0" fontId="32" fillId="0" borderId="10" xfId="0" applyFont="1" applyBorder="1" applyAlignment="1">
      <alignment/>
    </xf>
    <xf numFmtId="3"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3" fontId="6" fillId="0" borderId="0" xfId="0" applyNumberFormat="1" applyFont="1" applyFill="1" applyBorder="1" applyAlignment="1">
      <alignment horizontal="right"/>
    </xf>
    <xf numFmtId="9" fontId="36" fillId="0" borderId="0" xfId="73" applyNumberFormat="1" applyFont="1" applyBorder="1" applyAlignment="1">
      <alignment horizontal="right"/>
    </xf>
    <xf numFmtId="1" fontId="7" fillId="0" borderId="11" xfId="0" applyNumberFormat="1" applyFont="1" applyFill="1" applyBorder="1" applyAlignment="1">
      <alignment horizontal="right"/>
    </xf>
    <xf numFmtId="9" fontId="37" fillId="0" borderId="0" xfId="73" applyNumberFormat="1" applyFont="1" applyBorder="1" applyAlignment="1">
      <alignment horizontal="right"/>
    </xf>
    <xf numFmtId="9" fontId="7" fillId="0" borderId="0" xfId="73" applyNumberFormat="1" applyFont="1" applyBorder="1" applyAlignment="1">
      <alignment horizontal="right"/>
    </xf>
    <xf numFmtId="180" fontId="7" fillId="0" borderId="0" xfId="73" applyNumberFormat="1" applyFont="1" applyFill="1" applyBorder="1" applyAlignment="1">
      <alignment horizontal="right"/>
    </xf>
    <xf numFmtId="3" fontId="7" fillId="0" borderId="0" xfId="0" applyNumberFormat="1" applyFont="1" applyBorder="1" applyAlignment="1">
      <alignment horizontal="right"/>
    </xf>
    <xf numFmtId="3" fontId="6" fillId="0" borderId="0" xfId="0" applyNumberFormat="1" applyFont="1" applyBorder="1" applyAlignment="1">
      <alignment horizontal="right"/>
    </xf>
    <xf numFmtId="180" fontId="36" fillId="0" borderId="0" xfId="73" applyNumberFormat="1" applyFont="1" applyBorder="1" applyAlignment="1">
      <alignment horizontal="right"/>
    </xf>
    <xf numFmtId="1" fontId="7" fillId="0" borderId="11" xfId="0" applyNumberFormat="1" applyFont="1" applyBorder="1" applyAlignment="1">
      <alignment horizontal="center"/>
    </xf>
    <xf numFmtId="1" fontId="7" fillId="0" borderId="11" xfId="0" applyNumberFormat="1" applyFont="1" applyBorder="1" applyAlignment="1">
      <alignment horizontal="right"/>
    </xf>
    <xf numFmtId="1" fontId="37" fillId="0" borderId="11" xfId="0" applyNumberFormat="1" applyFont="1" applyFill="1" applyBorder="1" applyAlignment="1">
      <alignment horizontal="right"/>
    </xf>
    <xf numFmtId="1" fontId="37" fillId="0" borderId="0" xfId="0" applyNumberFormat="1" applyFont="1" applyFill="1" applyBorder="1" applyAlignment="1">
      <alignment horizontal="right"/>
    </xf>
    <xf numFmtId="0" fontId="38" fillId="0" borderId="0" xfId="0" applyFont="1" applyAlignment="1">
      <alignment/>
    </xf>
    <xf numFmtId="0" fontId="6" fillId="0" borderId="0" xfId="0" applyFont="1" applyBorder="1" applyAlignment="1">
      <alignment wrapText="1"/>
    </xf>
    <xf numFmtId="1" fontId="6" fillId="0" borderId="0" xfId="0" applyNumberFormat="1" applyFont="1" applyFill="1" applyBorder="1" applyAlignment="1">
      <alignment horizontal="right"/>
    </xf>
    <xf numFmtId="9" fontId="39" fillId="0" borderId="0" xfId="73" applyNumberFormat="1" applyFont="1" applyBorder="1" applyAlignment="1">
      <alignment horizontal="right"/>
    </xf>
    <xf numFmtId="180" fontId="39" fillId="0" borderId="0" xfId="73" applyNumberFormat="1" applyFont="1" applyBorder="1" applyAlignment="1">
      <alignment horizontal="right"/>
    </xf>
    <xf numFmtId="180" fontId="39" fillId="0" borderId="0" xfId="73" applyNumberFormat="1" applyFont="1" applyFill="1" applyBorder="1" applyAlignment="1">
      <alignment horizontal="right"/>
    </xf>
    <xf numFmtId="9" fontId="39" fillId="0" borderId="0" xfId="73" applyNumberFormat="1" applyFont="1" applyFill="1" applyBorder="1" applyAlignment="1">
      <alignment horizontal="right"/>
    </xf>
    <xf numFmtId="0" fontId="40" fillId="0" borderId="0" xfId="0" applyFont="1" applyAlignment="1">
      <alignment/>
    </xf>
    <xf numFmtId="9" fontId="37" fillId="0" borderId="0" xfId="73" applyNumberFormat="1" applyFont="1" applyFill="1" applyBorder="1" applyAlignment="1">
      <alignment horizontal="right"/>
    </xf>
    <xf numFmtId="9" fontId="6" fillId="0" borderId="0" xfId="73" applyNumberFormat="1" applyFont="1" applyBorder="1" applyAlignment="1">
      <alignment horizontal="right"/>
    </xf>
    <xf numFmtId="181" fontId="6" fillId="0" borderId="0" xfId="0" applyNumberFormat="1" applyFont="1" applyFill="1" applyBorder="1" applyAlignment="1">
      <alignment horizontal="right"/>
    </xf>
    <xf numFmtId="0" fontId="7" fillId="0" borderId="0" xfId="0" applyFont="1" applyFill="1" applyBorder="1" applyAlignment="1">
      <alignment/>
    </xf>
    <xf numFmtId="0" fontId="30" fillId="0" borderId="0" xfId="0" applyFont="1" applyFill="1" applyAlignment="1">
      <alignment/>
    </xf>
    <xf numFmtId="0" fontId="9" fillId="0" borderId="0" xfId="0" applyFont="1" applyAlignment="1">
      <alignment/>
    </xf>
    <xf numFmtId="0" fontId="30" fillId="0" borderId="0" xfId="0" applyFont="1" applyBorder="1" applyAlignment="1">
      <alignment/>
    </xf>
    <xf numFmtId="181" fontId="6" fillId="0" borderId="0" xfId="0" applyNumberFormat="1" applyFont="1" applyBorder="1" applyAlignment="1">
      <alignment horizontal="right"/>
    </xf>
    <xf numFmtId="1" fontId="6" fillId="0" borderId="11" xfId="0" applyNumberFormat="1" applyFont="1" applyFill="1" applyBorder="1" applyAlignment="1">
      <alignment horizontal="right"/>
    </xf>
    <xf numFmtId="0" fontId="41" fillId="0" borderId="0" xfId="0" applyFont="1" applyAlignment="1">
      <alignment/>
    </xf>
    <xf numFmtId="0" fontId="42" fillId="33" borderId="12" xfId="0" applyFont="1" applyFill="1" applyBorder="1" applyAlignment="1">
      <alignment horizontal="center" vertical="center"/>
    </xf>
    <xf numFmtId="0" fontId="31" fillId="0" borderId="12" xfId="0" applyFont="1" applyFill="1" applyBorder="1" applyAlignment="1">
      <alignment horizontal="right"/>
    </xf>
    <xf numFmtId="0" fontId="32" fillId="0" borderId="12" xfId="0" applyFont="1" applyFill="1" applyBorder="1" applyAlignment="1">
      <alignment horizontal="right"/>
    </xf>
    <xf numFmtId="187" fontId="6" fillId="0" borderId="0" xfId="67" applyNumberFormat="1" applyFont="1" applyBorder="1" applyAlignment="1">
      <alignment horizontal="center"/>
      <protection/>
    </xf>
    <xf numFmtId="187" fontId="6" fillId="0" borderId="0" xfId="67" applyNumberFormat="1" applyFont="1" applyFill="1" applyBorder="1" applyAlignment="1">
      <alignment horizontal="center"/>
      <protection/>
    </xf>
    <xf numFmtId="187" fontId="32" fillId="0" borderId="13" xfId="67" applyNumberFormat="1" applyFont="1" applyFill="1" applyBorder="1">
      <alignment/>
      <protection/>
    </xf>
    <xf numFmtId="3" fontId="32" fillId="0" borderId="13" xfId="67" applyNumberFormat="1" applyFont="1" applyFill="1" applyBorder="1">
      <alignment/>
      <protection/>
    </xf>
    <xf numFmtId="187" fontId="32" fillId="0" borderId="0" xfId="67" applyNumberFormat="1" applyFont="1" applyFill="1" applyBorder="1">
      <alignment/>
      <protection/>
    </xf>
    <xf numFmtId="3" fontId="32" fillId="0" borderId="0" xfId="67" applyNumberFormat="1" applyFont="1" applyFill="1" applyBorder="1">
      <alignment/>
      <protection/>
    </xf>
    <xf numFmtId="0" fontId="6" fillId="33" borderId="0" xfId="67" applyFont="1" applyFill="1" applyBorder="1">
      <alignment/>
      <protection/>
    </xf>
    <xf numFmtId="3" fontId="6" fillId="33" borderId="0" xfId="67" applyNumberFormat="1" applyFont="1" applyFill="1" applyBorder="1">
      <alignment/>
      <protection/>
    </xf>
    <xf numFmtId="3" fontId="6" fillId="0" borderId="0" xfId="67" applyNumberFormat="1" applyFont="1" applyFill="1" applyBorder="1">
      <alignment/>
      <protection/>
    </xf>
    <xf numFmtId="0" fontId="30" fillId="0" borderId="0" xfId="0" applyFont="1" applyAlignment="1">
      <alignment horizontal="center"/>
    </xf>
    <xf numFmtId="187" fontId="6" fillId="0" borderId="0" xfId="67" applyNumberFormat="1" applyFont="1" applyBorder="1">
      <alignment/>
      <protection/>
    </xf>
    <xf numFmtId="3" fontId="6" fillId="0" borderId="0" xfId="67" applyNumberFormat="1" applyFont="1" applyBorder="1">
      <alignment/>
      <protection/>
    </xf>
    <xf numFmtId="187" fontId="32" fillId="0" borderId="13" xfId="67" applyNumberFormat="1" applyFont="1" applyBorder="1">
      <alignment/>
      <protection/>
    </xf>
    <xf numFmtId="3" fontId="32" fillId="0" borderId="13" xfId="67" applyNumberFormat="1" applyFont="1" applyBorder="1">
      <alignment/>
      <protection/>
    </xf>
    <xf numFmtId="187" fontId="6" fillId="0" borderId="0" xfId="67" applyNumberFormat="1" applyFont="1" applyFill="1" applyBorder="1">
      <alignment/>
      <protection/>
    </xf>
    <xf numFmtId="187" fontId="32" fillId="0" borderId="14" xfId="67" applyNumberFormat="1" applyFont="1" applyFill="1" applyBorder="1">
      <alignment/>
      <protection/>
    </xf>
    <xf numFmtId="3" fontId="32" fillId="0" borderId="14" xfId="67" applyNumberFormat="1" applyFont="1" applyFill="1" applyBorder="1">
      <alignment/>
      <protection/>
    </xf>
    <xf numFmtId="187" fontId="32" fillId="0" borderId="15" xfId="67" applyNumberFormat="1" applyFont="1" applyFill="1" applyBorder="1">
      <alignment/>
      <protection/>
    </xf>
    <xf numFmtId="3" fontId="32" fillId="0" borderId="15" xfId="67" applyNumberFormat="1" applyFont="1" applyFill="1" applyBorder="1">
      <alignment/>
      <protection/>
    </xf>
    <xf numFmtId="187" fontId="6" fillId="33" borderId="0" xfId="67" applyNumberFormat="1" applyFont="1" applyFill="1" applyBorder="1">
      <alignment/>
      <protection/>
    </xf>
    <xf numFmtId="187" fontId="32" fillId="0" borderId="13" xfId="67" applyNumberFormat="1" applyFont="1" applyFill="1" applyBorder="1" applyAlignment="1">
      <alignment wrapText="1"/>
      <protection/>
    </xf>
    <xf numFmtId="3" fontId="32" fillId="0" borderId="13" xfId="67" applyNumberFormat="1" applyFont="1" applyFill="1" applyBorder="1" applyAlignment="1">
      <alignment wrapText="1"/>
      <protection/>
    </xf>
    <xf numFmtId="187" fontId="32" fillId="0" borderId="16" xfId="67" applyNumberFormat="1" applyFont="1" applyBorder="1">
      <alignment/>
      <protection/>
    </xf>
    <xf numFmtId="3" fontId="32" fillId="0" borderId="16" xfId="67" applyNumberFormat="1" applyFont="1" applyFill="1" applyBorder="1">
      <alignment/>
      <protection/>
    </xf>
    <xf numFmtId="3" fontId="32" fillId="0" borderId="16" xfId="67" applyNumberFormat="1" applyFont="1" applyBorder="1">
      <alignment/>
      <protection/>
    </xf>
    <xf numFmtId="9" fontId="32" fillId="0" borderId="17" xfId="73" applyFont="1" applyBorder="1" applyAlignment="1">
      <alignment vertical="center" wrapText="1"/>
    </xf>
    <xf numFmtId="9" fontId="32" fillId="0" borderId="17" xfId="73" applyFont="1" applyFill="1" applyBorder="1" applyAlignment="1">
      <alignment vertical="center" wrapText="1"/>
    </xf>
    <xf numFmtId="9" fontId="6" fillId="0" borderId="0" xfId="73" applyFont="1" applyAlignment="1">
      <alignment/>
    </xf>
    <xf numFmtId="0" fontId="32" fillId="0" borderId="17" xfId="0" applyFont="1" applyBorder="1" applyAlignment="1">
      <alignment vertical="center" wrapText="1"/>
    </xf>
    <xf numFmtId="182" fontId="32" fillId="0" borderId="17" xfId="0" applyNumberFormat="1" applyFont="1" applyBorder="1" applyAlignment="1">
      <alignment vertical="center" wrapText="1"/>
    </xf>
    <xf numFmtId="182" fontId="32" fillId="0" borderId="17" xfId="0" applyNumberFormat="1" applyFont="1" applyFill="1" applyBorder="1" applyAlignment="1">
      <alignment vertical="center" wrapText="1"/>
    </xf>
    <xf numFmtId="0" fontId="6" fillId="0" borderId="0" xfId="0" applyFont="1" applyAlignment="1">
      <alignment/>
    </xf>
    <xf numFmtId="184" fontId="32" fillId="0" borderId="17" xfId="0" applyNumberFormat="1" applyFont="1" applyBorder="1" applyAlignment="1">
      <alignment vertical="center" wrapText="1"/>
    </xf>
    <xf numFmtId="184" fontId="32" fillId="0" borderId="17" xfId="0" applyNumberFormat="1" applyFont="1" applyBorder="1" applyAlignment="1">
      <alignment horizontal="right" vertical="center" wrapText="1"/>
    </xf>
    <xf numFmtId="184" fontId="32" fillId="0" borderId="17" xfId="0" applyNumberFormat="1" applyFont="1" applyFill="1" applyBorder="1" applyAlignment="1">
      <alignment horizontal="right" vertical="center" wrapText="1"/>
    </xf>
    <xf numFmtId="0" fontId="6" fillId="0" borderId="0" xfId="0" applyFont="1" applyBorder="1" applyAlignment="1">
      <alignment horizontal="center"/>
    </xf>
    <xf numFmtId="0" fontId="85" fillId="0" borderId="0" xfId="0" applyFont="1" applyAlignment="1">
      <alignment/>
    </xf>
    <xf numFmtId="0" fontId="30" fillId="0" borderId="0" xfId="0" applyFont="1" applyBorder="1" applyAlignment="1">
      <alignment horizontal="center"/>
    </xf>
    <xf numFmtId="0" fontId="31" fillId="0" borderId="12" xfId="0" applyFont="1" applyBorder="1" applyAlignment="1">
      <alignment horizontal="right"/>
    </xf>
    <xf numFmtId="0" fontId="32" fillId="0" borderId="12" xfId="0" applyFont="1" applyBorder="1" applyAlignment="1">
      <alignment horizontal="right"/>
    </xf>
    <xf numFmtId="0" fontId="43" fillId="33" borderId="0" xfId="68" applyFont="1" applyFill="1" applyAlignment="1">
      <alignment wrapText="1"/>
      <protection/>
    </xf>
    <xf numFmtId="0" fontId="44" fillId="33" borderId="0" xfId="0" applyFont="1" applyFill="1" applyAlignment="1">
      <alignment/>
    </xf>
    <xf numFmtId="0" fontId="32" fillId="33" borderId="0" xfId="68" applyFont="1" applyFill="1" applyAlignment="1">
      <alignment wrapText="1"/>
      <protection/>
    </xf>
    <xf numFmtId="0" fontId="32" fillId="0" borderId="0" xfId="68" applyFont="1" applyFill="1" applyAlignment="1">
      <alignment wrapText="1"/>
      <protection/>
    </xf>
    <xf numFmtId="0" fontId="44" fillId="0" borderId="0" xfId="0" applyFont="1" applyAlignment="1">
      <alignment/>
    </xf>
    <xf numFmtId="0" fontId="43" fillId="33" borderId="14" xfId="0" applyFont="1" applyFill="1" applyBorder="1" applyAlignment="1">
      <alignment/>
    </xf>
    <xf numFmtId="3" fontId="43" fillId="33" borderId="14" xfId="0" applyNumberFormat="1" applyFont="1" applyFill="1" applyBorder="1" applyAlignment="1">
      <alignment horizontal="right" vertical="center" wrapText="1"/>
    </xf>
    <xf numFmtId="3" fontId="32" fillId="33" borderId="14" xfId="0" applyNumberFormat="1" applyFont="1" applyFill="1" applyBorder="1" applyAlignment="1">
      <alignment horizontal="right" vertical="center" wrapText="1"/>
    </xf>
    <xf numFmtId="3" fontId="32" fillId="0" borderId="14" xfId="0" applyNumberFormat="1" applyFont="1" applyFill="1" applyBorder="1" applyAlignment="1">
      <alignment horizontal="right" vertical="center" wrapText="1"/>
    </xf>
    <xf numFmtId="0" fontId="43" fillId="33" borderId="14" xfId="0" applyFont="1" applyFill="1" applyBorder="1" applyAlignment="1">
      <alignment vertical="center" wrapText="1"/>
    </xf>
    <xf numFmtId="3" fontId="44" fillId="33" borderId="0" xfId="0" applyNumberFormat="1" applyFont="1" applyFill="1" applyAlignment="1">
      <alignment horizontal="right" vertical="center" wrapText="1"/>
    </xf>
    <xf numFmtId="3" fontId="6" fillId="33" borderId="0" xfId="0" applyNumberFormat="1" applyFont="1" applyFill="1" applyAlignment="1">
      <alignment horizontal="right" vertical="center" wrapText="1"/>
    </xf>
    <xf numFmtId="3" fontId="6" fillId="0" borderId="0" xfId="0" applyNumberFormat="1" applyFont="1" applyFill="1" applyAlignment="1">
      <alignment horizontal="right" vertical="center" wrapText="1"/>
    </xf>
    <xf numFmtId="0" fontId="44" fillId="0" borderId="0" xfId="0" applyFont="1" applyAlignment="1">
      <alignment horizontal="left"/>
    </xf>
    <xf numFmtId="0" fontId="6" fillId="0" borderId="0" xfId="0" applyFont="1" applyAlignment="1">
      <alignment horizontal="center"/>
    </xf>
    <xf numFmtId="0" fontId="6" fillId="0" borderId="0" xfId="0" applyFont="1" applyFill="1" applyAlignment="1">
      <alignment/>
    </xf>
    <xf numFmtId="0" fontId="44" fillId="0" borderId="0" xfId="0" applyFont="1" applyFill="1" applyBorder="1" applyAlignment="1">
      <alignment horizontal="left" vertical="center"/>
    </xf>
    <xf numFmtId="3" fontId="44" fillId="0" borderId="0"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xf>
    <xf numFmtId="0" fontId="32" fillId="0" borderId="0" xfId="0" applyFont="1" applyAlignment="1">
      <alignment/>
    </xf>
    <xf numFmtId="0" fontId="43" fillId="0" borderId="0" xfId="0" applyFont="1" applyFill="1" applyBorder="1" applyAlignment="1">
      <alignment horizontal="left" vertical="center"/>
    </xf>
    <xf numFmtId="3" fontId="43" fillId="0" borderId="0" xfId="0" applyNumberFormat="1" applyFont="1" applyFill="1" applyBorder="1" applyAlignment="1">
      <alignment horizontal="right" vertical="center" wrapText="1"/>
    </xf>
    <xf numFmtId="3" fontId="32" fillId="0" borderId="0" xfId="0" applyNumberFormat="1" applyFont="1" applyFill="1" applyBorder="1" applyAlignment="1">
      <alignment horizontal="right" vertical="center" wrapText="1"/>
    </xf>
    <xf numFmtId="0" fontId="45" fillId="0" borderId="0" xfId="0" applyFont="1" applyAlignment="1">
      <alignment/>
    </xf>
    <xf numFmtId="0" fontId="43" fillId="0" borderId="0" xfId="0" applyFont="1" applyFill="1" applyBorder="1" applyAlignment="1">
      <alignment vertical="center"/>
    </xf>
    <xf numFmtId="0" fontId="46" fillId="0" borderId="13" xfId="0" applyFont="1" applyFill="1" applyBorder="1" applyAlignment="1">
      <alignment vertical="center" wrapText="1"/>
    </xf>
    <xf numFmtId="3" fontId="46" fillId="0" borderId="13" xfId="0" applyNumberFormat="1" applyFont="1" applyFill="1" applyBorder="1" applyAlignment="1">
      <alignment horizontal="right" vertical="center" wrapText="1"/>
    </xf>
    <xf numFmtId="3" fontId="42" fillId="0" borderId="13" xfId="0" applyNumberFormat="1" applyFont="1" applyFill="1" applyBorder="1" applyAlignment="1">
      <alignment horizontal="right" vertical="center" wrapText="1"/>
    </xf>
    <xf numFmtId="0" fontId="46" fillId="0" borderId="0" xfId="0" applyFont="1" applyFill="1" applyBorder="1" applyAlignment="1">
      <alignment vertical="center" wrapText="1"/>
    </xf>
    <xf numFmtId="3" fontId="46" fillId="0" borderId="0" xfId="0" applyNumberFormat="1" applyFont="1" applyFill="1" applyBorder="1" applyAlignment="1">
      <alignment horizontal="right" vertical="center" wrapText="1"/>
    </xf>
    <xf numFmtId="3" fontId="42" fillId="0" borderId="0" xfId="0" applyNumberFormat="1" applyFont="1" applyFill="1" applyBorder="1" applyAlignment="1">
      <alignment horizontal="right" vertical="center" wrapText="1"/>
    </xf>
    <xf numFmtId="0" fontId="43" fillId="0" borderId="0" xfId="68" applyFont="1" applyFill="1" applyBorder="1" applyAlignment="1">
      <alignment vertical="center" wrapText="1"/>
      <protection/>
    </xf>
    <xf numFmtId="3" fontId="43" fillId="0" borderId="0" xfId="68" applyNumberFormat="1" applyFont="1" applyFill="1" applyBorder="1" applyAlignment="1">
      <alignment horizontal="right" vertical="center" wrapText="1"/>
      <protection/>
    </xf>
    <xf numFmtId="3" fontId="32" fillId="0" borderId="0" xfId="68" applyNumberFormat="1" applyFont="1" applyFill="1" applyBorder="1" applyAlignment="1">
      <alignment horizontal="right" vertical="center" wrapText="1"/>
      <protection/>
    </xf>
    <xf numFmtId="0" fontId="44" fillId="0" borderId="0" xfId="68" applyFont="1" applyFill="1" applyBorder="1" applyAlignment="1">
      <alignment horizontal="left" vertical="center" wrapText="1"/>
      <protection/>
    </xf>
    <xf numFmtId="3" fontId="44" fillId="0" borderId="0" xfId="68" applyNumberFormat="1" applyFont="1" applyFill="1" applyBorder="1" applyAlignment="1">
      <alignment horizontal="right" vertical="center" wrapText="1"/>
      <protection/>
    </xf>
    <xf numFmtId="3" fontId="6" fillId="0" borderId="0" xfId="68" applyNumberFormat="1" applyFont="1" applyFill="1" applyBorder="1" applyAlignment="1">
      <alignment horizontal="right" vertical="center" wrapText="1"/>
      <protection/>
    </xf>
    <xf numFmtId="0" fontId="33" fillId="0" borderId="0" xfId="0" applyFont="1" applyAlignment="1">
      <alignment/>
    </xf>
    <xf numFmtId="0" fontId="44" fillId="0" borderId="0" xfId="68" applyFont="1" applyFill="1" applyBorder="1" applyAlignment="1">
      <alignment horizontal="left" vertical="center"/>
      <protection/>
    </xf>
    <xf numFmtId="0" fontId="46" fillId="0" borderId="13" xfId="68" applyFont="1" applyFill="1" applyBorder="1" applyAlignment="1">
      <alignment vertical="center" wrapText="1"/>
      <protection/>
    </xf>
    <xf numFmtId="3" fontId="46" fillId="0" borderId="13" xfId="68" applyNumberFormat="1" applyFont="1" applyFill="1" applyBorder="1" applyAlignment="1">
      <alignment horizontal="right" vertical="center" wrapText="1"/>
      <protection/>
    </xf>
    <xf numFmtId="3" fontId="42" fillId="0" borderId="13" xfId="68" applyNumberFormat="1" applyFont="1" applyFill="1" applyBorder="1" applyAlignment="1">
      <alignment horizontal="right" vertical="center" wrapText="1"/>
      <protection/>
    </xf>
    <xf numFmtId="0" fontId="43" fillId="0" borderId="0" xfId="68" applyFont="1" applyFill="1" applyBorder="1" applyAlignment="1">
      <alignment vertical="center"/>
      <protection/>
    </xf>
    <xf numFmtId="3" fontId="43" fillId="0" borderId="0" xfId="68" applyNumberFormat="1" applyFont="1" applyFill="1" applyBorder="1" applyAlignment="1">
      <alignment vertical="center" wrapText="1"/>
      <protection/>
    </xf>
    <xf numFmtId="0" fontId="46" fillId="0" borderId="13" xfId="68" applyFont="1" applyFill="1" applyBorder="1" applyAlignment="1">
      <alignment horizontal="left" vertical="center" wrapText="1"/>
      <protection/>
    </xf>
    <xf numFmtId="0" fontId="43" fillId="0" borderId="13" xfId="0" applyFont="1" applyFill="1" applyBorder="1" applyAlignment="1">
      <alignment vertical="center" wrapText="1"/>
    </xf>
    <xf numFmtId="3" fontId="43" fillId="0" borderId="13" xfId="0" applyNumberFormat="1" applyFont="1" applyFill="1" applyBorder="1" applyAlignment="1">
      <alignment horizontal="right" vertical="center" wrapText="1"/>
    </xf>
    <xf numFmtId="3" fontId="32" fillId="0" borderId="13" xfId="0" applyNumberFormat="1" applyFont="1" applyFill="1" applyBorder="1" applyAlignment="1">
      <alignment horizontal="right" vertical="center" wrapText="1"/>
    </xf>
    <xf numFmtId="0" fontId="44" fillId="0" borderId="0" xfId="0" applyFont="1" applyFill="1" applyBorder="1" applyAlignment="1">
      <alignment vertical="center"/>
    </xf>
    <xf numFmtId="0" fontId="44" fillId="0" borderId="14" xfId="0" applyFont="1" applyFill="1" applyBorder="1" applyAlignment="1">
      <alignment vertical="center" wrapText="1"/>
    </xf>
    <xf numFmtId="3" fontId="44" fillId="0" borderId="14" xfId="0" applyNumberFormat="1" applyFont="1" applyFill="1" applyBorder="1" applyAlignment="1">
      <alignment horizontal="right" vertical="center" wrapText="1"/>
    </xf>
    <xf numFmtId="3" fontId="6" fillId="0" borderId="14" xfId="0" applyNumberFormat="1" applyFont="1" applyFill="1" applyBorder="1" applyAlignment="1">
      <alignment horizontal="right" vertical="center" wrapText="1"/>
    </xf>
    <xf numFmtId="0" fontId="44" fillId="0" borderId="15" xfId="0" applyFont="1" applyFill="1" applyBorder="1" applyAlignment="1">
      <alignment vertical="center" wrapText="1"/>
    </xf>
    <xf numFmtId="3" fontId="44" fillId="0" borderId="15" xfId="0" applyNumberFormat="1" applyFont="1" applyFill="1" applyBorder="1" applyAlignment="1">
      <alignment horizontal="right" vertical="center" wrapText="1"/>
    </xf>
    <xf numFmtId="3" fontId="6" fillId="0" borderId="15" xfId="0" applyNumberFormat="1" applyFont="1" applyFill="1" applyBorder="1" applyAlignment="1">
      <alignment horizontal="right" vertical="center" wrapText="1"/>
    </xf>
    <xf numFmtId="0" fontId="43" fillId="0" borderId="16" xfId="0" applyFont="1" applyFill="1" applyBorder="1" applyAlignment="1">
      <alignment vertical="center" wrapText="1"/>
    </xf>
    <xf numFmtId="3" fontId="43" fillId="0" borderId="16" xfId="0" applyNumberFormat="1" applyFont="1" applyFill="1" applyBorder="1" applyAlignment="1">
      <alignment horizontal="right" vertical="center" wrapText="1"/>
    </xf>
    <xf numFmtId="3" fontId="32" fillId="0" borderId="16" xfId="0" applyNumberFormat="1" applyFont="1" applyFill="1" applyBorder="1" applyAlignment="1">
      <alignment horizontal="right" vertical="center" wrapText="1"/>
    </xf>
    <xf numFmtId="0" fontId="47" fillId="0" borderId="0" xfId="0" applyFont="1" applyBorder="1" applyAlignment="1">
      <alignment wrapText="1"/>
    </xf>
    <xf numFmtId="0" fontId="48" fillId="0" borderId="0" xfId="0" applyFont="1" applyBorder="1" applyAlignment="1">
      <alignment/>
    </xf>
    <xf numFmtId="0" fontId="48" fillId="0" borderId="0" xfId="0" applyFont="1" applyFill="1" applyBorder="1" applyAlignment="1">
      <alignment/>
    </xf>
    <xf numFmtId="0" fontId="42" fillId="33" borderId="16" xfId="0" applyFont="1" applyFill="1" applyBorder="1" applyAlignment="1">
      <alignment horizontal="center" vertical="center"/>
    </xf>
    <xf numFmtId="0" fontId="6" fillId="0" borderId="0" xfId="0" applyFont="1" applyBorder="1" applyAlignment="1">
      <alignment vertical="center" wrapText="1"/>
    </xf>
    <xf numFmtId="0" fontId="32" fillId="0" borderId="0" xfId="0" applyFont="1" applyBorder="1" applyAlignment="1">
      <alignment vertical="center" wrapText="1"/>
    </xf>
    <xf numFmtId="0" fontId="32" fillId="0" borderId="0" xfId="0" applyFont="1" applyFill="1" applyBorder="1" applyAlignment="1">
      <alignment vertical="center" wrapText="1"/>
    </xf>
    <xf numFmtId="188" fontId="31" fillId="0" borderId="12" xfId="0" applyNumberFormat="1" applyFont="1" applyFill="1" applyBorder="1" applyAlignment="1">
      <alignment horizontal="right"/>
    </xf>
    <xf numFmtId="188" fontId="32" fillId="0" borderId="12" xfId="0" applyNumberFormat="1" applyFont="1" applyFill="1" applyBorder="1" applyAlignment="1">
      <alignment horizontal="right"/>
    </xf>
    <xf numFmtId="0" fontId="32" fillId="0" borderId="18" xfId="0" applyFont="1" applyFill="1" applyBorder="1" applyAlignment="1">
      <alignment vertical="center" wrapText="1"/>
    </xf>
    <xf numFmtId="3" fontId="32" fillId="0" borderId="18" xfId="0" applyNumberFormat="1" applyFont="1" applyFill="1" applyBorder="1" applyAlignment="1">
      <alignment horizontal="right" vertical="center"/>
    </xf>
    <xf numFmtId="0" fontId="6" fillId="0" borderId="0" xfId="0" applyFont="1" applyBorder="1" applyAlignment="1">
      <alignment horizontal="left" vertical="center" wrapText="1" indent="2"/>
    </xf>
    <xf numFmtId="3" fontId="6" fillId="0" borderId="0" xfId="0" applyNumberFormat="1" applyFont="1" applyBorder="1" applyAlignment="1">
      <alignment horizontal="right" vertical="center"/>
    </xf>
    <xf numFmtId="3"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wrapText="1" indent="2"/>
    </xf>
    <xf numFmtId="177" fontId="6" fillId="0" borderId="0" xfId="0" applyNumberFormat="1" applyFont="1" applyFill="1" applyBorder="1" applyAlignment="1">
      <alignment horizontal="right" wrapText="1"/>
    </xf>
    <xf numFmtId="0" fontId="6" fillId="0" borderId="0" xfId="0" applyFont="1" applyFill="1" applyBorder="1" applyAlignment="1">
      <alignment vertical="center" wrapText="1"/>
    </xf>
    <xf numFmtId="0" fontId="32" fillId="0" borderId="14" xfId="0" applyFont="1" applyFill="1" applyBorder="1" applyAlignment="1">
      <alignment vertical="center" wrapText="1"/>
    </xf>
    <xf numFmtId="3" fontId="32" fillId="0" borderId="14" xfId="0" applyNumberFormat="1" applyFont="1" applyFill="1" applyBorder="1" applyAlignment="1">
      <alignment horizontal="right" vertical="center"/>
    </xf>
    <xf numFmtId="3" fontId="32" fillId="0" borderId="17" xfId="0" applyNumberFormat="1" applyFont="1" applyBorder="1" applyAlignment="1">
      <alignment horizontal="right" vertical="center"/>
    </xf>
    <xf numFmtId="3" fontId="32" fillId="0" borderId="17" xfId="0" applyNumberFormat="1" applyFont="1" applyFill="1" applyBorder="1" applyAlignment="1">
      <alignment horizontal="right" vertical="center"/>
    </xf>
    <xf numFmtId="3" fontId="32" fillId="0" borderId="0" xfId="0" applyNumberFormat="1" applyFont="1" applyBorder="1" applyAlignment="1">
      <alignment horizontal="right" vertical="center"/>
    </xf>
    <xf numFmtId="3" fontId="32" fillId="0" borderId="0" xfId="0" applyNumberFormat="1" applyFont="1" applyFill="1" applyBorder="1" applyAlignment="1">
      <alignment horizontal="right" vertical="center"/>
    </xf>
    <xf numFmtId="0" fontId="32" fillId="0" borderId="14" xfId="0" applyFont="1" applyBorder="1" applyAlignment="1">
      <alignment vertical="center" wrapText="1"/>
    </xf>
    <xf numFmtId="3" fontId="32" fillId="0" borderId="14" xfId="0" applyNumberFormat="1" applyFont="1" applyBorder="1" applyAlignment="1">
      <alignment horizontal="right" vertical="center"/>
    </xf>
    <xf numFmtId="0" fontId="32" fillId="0" borderId="13" xfId="0" applyFont="1" applyBorder="1" applyAlignment="1">
      <alignment vertical="center" wrapText="1"/>
    </xf>
    <xf numFmtId="3" fontId="32" fillId="0" borderId="13" xfId="0" applyNumberFormat="1" applyFont="1" applyBorder="1" applyAlignment="1">
      <alignment horizontal="right" vertical="center"/>
    </xf>
    <xf numFmtId="3" fontId="32" fillId="0" borderId="13" xfId="0" applyNumberFormat="1" applyFont="1" applyFill="1" applyBorder="1" applyAlignment="1">
      <alignment horizontal="right" vertical="center"/>
    </xf>
    <xf numFmtId="0" fontId="32" fillId="0" borderId="13" xfId="0" applyFont="1" applyFill="1" applyBorder="1" applyAlignment="1">
      <alignment vertical="center" wrapText="1"/>
    </xf>
    <xf numFmtId="0" fontId="49" fillId="0" borderId="0" xfId="0" applyFont="1" applyBorder="1" applyAlignment="1">
      <alignment vertical="center" wrapText="1"/>
    </xf>
    <xf numFmtId="3" fontId="49" fillId="0" borderId="0" xfId="0" applyNumberFormat="1" applyFont="1" applyBorder="1" applyAlignment="1">
      <alignment horizontal="right" vertical="center"/>
    </xf>
    <xf numFmtId="3" fontId="6" fillId="0" borderId="0" xfId="0" applyNumberFormat="1" applyFont="1" applyAlignment="1">
      <alignment horizontal="right"/>
    </xf>
    <xf numFmtId="3" fontId="6" fillId="0" borderId="0" xfId="0" applyNumberFormat="1" applyFont="1" applyFill="1" applyAlignment="1">
      <alignment horizontal="right"/>
    </xf>
    <xf numFmtId="0" fontId="6" fillId="0" borderId="0" xfId="0" applyFont="1" applyFill="1" applyBorder="1" applyAlignment="1">
      <alignment horizontal="center"/>
    </xf>
    <xf numFmtId="3" fontId="6" fillId="0" borderId="0" xfId="0" applyNumberFormat="1" applyFont="1" applyAlignment="1">
      <alignment horizontal="center"/>
    </xf>
    <xf numFmtId="3" fontId="6" fillId="0" borderId="0" xfId="0" applyNumberFormat="1" applyFont="1" applyFill="1" applyBorder="1" applyAlignment="1">
      <alignment horizontal="center"/>
    </xf>
    <xf numFmtId="0" fontId="30" fillId="0" borderId="0" xfId="0" applyFont="1" applyFill="1" applyBorder="1" applyAlignment="1">
      <alignment horizontal="center"/>
    </xf>
    <xf numFmtId="0" fontId="30" fillId="0" borderId="0" xfId="0" applyFont="1" applyFill="1" applyAlignment="1">
      <alignment horizontal="center"/>
    </xf>
    <xf numFmtId="0" fontId="50" fillId="0" borderId="0" xfId="0" applyFont="1" applyAlignment="1">
      <alignment/>
    </xf>
    <xf numFmtId="0" fontId="51" fillId="0" borderId="0" xfId="0" applyFont="1" applyFill="1" applyAlignment="1">
      <alignment/>
    </xf>
    <xf numFmtId="0" fontId="51" fillId="0" borderId="0" xfId="0" applyFont="1" applyAlignment="1">
      <alignment/>
    </xf>
    <xf numFmtId="0" fontId="51" fillId="0" borderId="0" xfId="0" applyFont="1" applyBorder="1" applyAlignment="1">
      <alignment/>
    </xf>
    <xf numFmtId="0" fontId="32" fillId="0" borderId="10" xfId="0" applyFont="1" applyFill="1" applyBorder="1" applyAlignment="1">
      <alignment horizontal="left"/>
    </xf>
    <xf numFmtId="0" fontId="7" fillId="0" borderId="0" xfId="0" applyFont="1" applyBorder="1" applyAlignment="1">
      <alignment horizontal="right"/>
    </xf>
    <xf numFmtId="0" fontId="6" fillId="0" borderId="11" xfId="0" applyFont="1" applyBorder="1" applyAlignment="1">
      <alignment/>
    </xf>
    <xf numFmtId="9" fontId="6" fillId="0" borderId="11" xfId="73" applyNumberFormat="1" applyFont="1" applyBorder="1" applyAlignment="1">
      <alignment horizontal="right"/>
    </xf>
    <xf numFmtId="1" fontId="7" fillId="0" borderId="0" xfId="0" applyNumberFormat="1" applyFont="1" applyBorder="1" applyAlignment="1">
      <alignment horizontal="right"/>
    </xf>
    <xf numFmtId="0" fontId="6" fillId="0" borderId="11" xfId="0" applyFont="1" applyFill="1" applyBorder="1" applyAlignment="1">
      <alignment/>
    </xf>
    <xf numFmtId="0" fontId="6" fillId="0" borderId="0" xfId="0" applyFont="1" applyBorder="1" applyAlignment="1">
      <alignment horizontal="left"/>
    </xf>
    <xf numFmtId="9" fontId="6" fillId="0" borderId="0" xfId="73" applyFont="1" applyBorder="1" applyAlignment="1">
      <alignment horizontal="right"/>
    </xf>
    <xf numFmtId="183" fontId="6" fillId="0" borderId="0" xfId="0" applyNumberFormat="1" applyFont="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32" fillId="0" borderId="10" xfId="0" applyFont="1" applyFill="1" applyBorder="1" applyAlignment="1">
      <alignment/>
    </xf>
    <xf numFmtId="0" fontId="6" fillId="0" borderId="19" xfId="0" applyFont="1" applyBorder="1" applyAlignment="1">
      <alignment/>
    </xf>
    <xf numFmtId="181" fontId="6" fillId="0" borderId="19" xfId="0" applyNumberFormat="1" applyFont="1" applyBorder="1" applyAlignment="1">
      <alignment horizontal="right"/>
    </xf>
    <xf numFmtId="3" fontId="6" fillId="0" borderId="0" xfId="73" applyNumberFormat="1" applyFont="1" applyBorder="1" applyAlignment="1">
      <alignment horizontal="right"/>
    </xf>
    <xf numFmtId="3" fontId="6" fillId="0" borderId="0" xfId="73" applyNumberFormat="1" applyFont="1" applyFill="1" applyBorder="1" applyAlignment="1">
      <alignment horizontal="right"/>
    </xf>
    <xf numFmtId="186" fontId="6" fillId="0" borderId="0" xfId="0" applyNumberFormat="1" applyFont="1" applyBorder="1" applyAlignment="1">
      <alignment horizontal="right"/>
    </xf>
    <xf numFmtId="0" fontId="30" fillId="0" borderId="0" xfId="0" applyFont="1" applyBorder="1" applyAlignment="1">
      <alignment horizontal="left"/>
    </xf>
    <xf numFmtId="0" fontId="6" fillId="0" borderId="0" xfId="0" applyFont="1" applyFill="1" applyBorder="1" applyAlignment="1">
      <alignment/>
    </xf>
    <xf numFmtId="0" fontId="10" fillId="0" borderId="0" xfId="0" applyFont="1" applyFill="1" applyBorder="1" applyAlignment="1">
      <alignment/>
    </xf>
    <xf numFmtId="0" fontId="52" fillId="0" borderId="0" xfId="0" applyFont="1" applyFill="1" applyAlignment="1">
      <alignment/>
    </xf>
    <xf numFmtId="0" fontId="52" fillId="0" borderId="0" xfId="0" applyFont="1" applyAlignment="1">
      <alignment/>
    </xf>
    <xf numFmtId="0" fontId="52" fillId="0" borderId="0" xfId="0" applyFont="1" applyBorder="1" applyAlignment="1">
      <alignment/>
    </xf>
    <xf numFmtId="9" fontId="10" fillId="0" borderId="0" xfId="73" applyNumberFormat="1" applyFont="1" applyBorder="1" applyAlignment="1">
      <alignment horizontal="center"/>
    </xf>
    <xf numFmtId="0" fontId="53" fillId="0" borderId="0" xfId="0" applyFont="1" applyAlignment="1">
      <alignment/>
    </xf>
    <xf numFmtId="0" fontId="54" fillId="0" borderId="0" xfId="0" applyFont="1" applyFill="1" applyBorder="1" applyAlignment="1">
      <alignment/>
    </xf>
    <xf numFmtId="9" fontId="54" fillId="0" borderId="0" xfId="73" applyNumberFormat="1" applyFont="1" applyFill="1" applyBorder="1" applyAlignment="1">
      <alignment horizontal="left"/>
    </xf>
    <xf numFmtId="9" fontId="54" fillId="0" borderId="0" xfId="73" applyNumberFormat="1" applyFont="1" applyFill="1" applyBorder="1" applyAlignment="1">
      <alignment horizontal="center"/>
    </xf>
    <xf numFmtId="9" fontId="10" fillId="0" borderId="0" xfId="73" applyNumberFormat="1" applyFont="1" applyFill="1" applyBorder="1" applyAlignment="1">
      <alignment horizontal="center"/>
    </xf>
    <xf numFmtId="1" fontId="10" fillId="0" borderId="0" xfId="0" applyNumberFormat="1" applyFont="1" applyFill="1" applyBorder="1" applyAlignment="1">
      <alignment horizontal="center"/>
    </xf>
    <xf numFmtId="1" fontId="10" fillId="0" borderId="0" xfId="0" applyNumberFormat="1" applyFont="1" applyBorder="1" applyAlignment="1">
      <alignment horizontal="center"/>
    </xf>
    <xf numFmtId="0" fontId="50" fillId="0" borderId="0" xfId="0" applyFont="1" applyFill="1" applyAlignment="1">
      <alignment/>
    </xf>
    <xf numFmtId="0" fontId="55" fillId="0" borderId="0" xfId="0" applyFont="1" applyFill="1" applyAlignment="1">
      <alignment/>
    </xf>
    <xf numFmtId="0" fontId="55" fillId="0" borderId="0" xfId="0" applyFont="1" applyFill="1" applyBorder="1" applyAlignment="1">
      <alignment/>
    </xf>
    <xf numFmtId="0" fontId="38" fillId="0" borderId="0" xfId="0" applyFont="1" applyFill="1" applyAlignment="1">
      <alignment/>
    </xf>
    <xf numFmtId="3" fontId="34" fillId="0" borderId="0" xfId="73" applyNumberFormat="1" applyFont="1" applyBorder="1" applyAlignment="1">
      <alignment horizontal="right"/>
    </xf>
    <xf numFmtId="3" fontId="34" fillId="0" borderId="0" xfId="73" applyNumberFormat="1" applyFont="1" applyFill="1" applyBorder="1" applyAlignment="1">
      <alignment horizontal="right"/>
    </xf>
    <xf numFmtId="3" fontId="36" fillId="0" borderId="0" xfId="73" applyNumberFormat="1" applyFont="1" applyBorder="1" applyAlignment="1">
      <alignment horizontal="right"/>
    </xf>
    <xf numFmtId="9" fontId="56" fillId="0" borderId="0" xfId="73" applyFont="1" applyFill="1" applyAlignment="1">
      <alignment/>
    </xf>
    <xf numFmtId="0" fontId="56" fillId="0" borderId="0" xfId="0" applyFont="1" applyAlignment="1">
      <alignment/>
    </xf>
    <xf numFmtId="0" fontId="6" fillId="0" borderId="0" xfId="0" applyFont="1" applyBorder="1" applyAlignment="1">
      <alignment horizontal="left" indent="3"/>
    </xf>
    <xf numFmtId="0" fontId="30" fillId="34" borderId="0" xfId="0" applyFont="1" applyFill="1" applyAlignment="1">
      <alignment/>
    </xf>
    <xf numFmtId="3" fontId="33" fillId="0" borderId="0" xfId="73" applyNumberFormat="1" applyFont="1" applyBorder="1" applyAlignment="1">
      <alignment horizontal="right"/>
    </xf>
    <xf numFmtId="3" fontId="33" fillId="0" borderId="0" xfId="73" applyNumberFormat="1" applyFont="1" applyFill="1" applyBorder="1" applyAlignment="1">
      <alignment horizontal="right"/>
    </xf>
    <xf numFmtId="9" fontId="6" fillId="0" borderId="0" xfId="73" applyFont="1" applyFill="1" applyBorder="1" applyAlignment="1">
      <alignment horizontal="right"/>
    </xf>
    <xf numFmtId="3" fontId="39" fillId="0" borderId="0" xfId="73" applyNumberFormat="1" applyFont="1" applyBorder="1" applyAlignment="1">
      <alignment horizontal="right"/>
    </xf>
    <xf numFmtId="3" fontId="39" fillId="0" borderId="0" xfId="73" applyNumberFormat="1" applyFont="1" applyFill="1" applyBorder="1" applyAlignment="1">
      <alignment horizontal="right"/>
    </xf>
    <xf numFmtId="9" fontId="7" fillId="0" borderId="0" xfId="73" applyFont="1" applyFill="1" applyBorder="1" applyAlignment="1">
      <alignment horizontal="right"/>
    </xf>
    <xf numFmtId="3" fontId="37" fillId="0" borderId="0" xfId="0" applyNumberFormat="1" applyFont="1" applyFill="1" applyBorder="1" applyAlignment="1">
      <alignment horizontal="right"/>
    </xf>
    <xf numFmtId="3" fontId="7" fillId="0" borderId="11" xfId="0" applyNumberFormat="1" applyFont="1" applyFill="1" applyBorder="1" applyAlignment="1">
      <alignment horizontal="right"/>
    </xf>
    <xf numFmtId="3" fontId="7" fillId="0" borderId="11" xfId="0" applyNumberFormat="1" applyFont="1" applyBorder="1" applyAlignment="1">
      <alignment horizontal="right"/>
    </xf>
    <xf numFmtId="3" fontId="37" fillId="0" borderId="11" xfId="0" applyNumberFormat="1" applyFont="1" applyFill="1" applyBorder="1" applyAlignment="1">
      <alignment horizontal="right"/>
    </xf>
    <xf numFmtId="0" fontId="37" fillId="0" borderId="0" xfId="0" applyFont="1" applyFill="1" applyBorder="1" applyAlignment="1">
      <alignment/>
    </xf>
    <xf numFmtId="0" fontId="57" fillId="0" borderId="0" xfId="0" applyFont="1" applyBorder="1" applyAlignment="1">
      <alignment/>
    </xf>
    <xf numFmtId="9" fontId="7" fillId="0" borderId="0" xfId="73" applyNumberFormat="1" applyFont="1" applyFill="1" applyBorder="1" applyAlignment="1">
      <alignment horizontal="center"/>
    </xf>
    <xf numFmtId="9" fontId="7" fillId="0" borderId="0" xfId="73" applyNumberFormat="1" applyFont="1" applyBorder="1" applyAlignment="1">
      <alignment horizontal="center"/>
    </xf>
    <xf numFmtId="9" fontId="7" fillId="0" borderId="0" xfId="73" applyNumberFormat="1" applyFont="1" applyFill="1" applyBorder="1" applyAlignment="1">
      <alignment horizontal="left"/>
    </xf>
    <xf numFmtId="9" fontId="37" fillId="0" borderId="0" xfId="73" applyNumberFormat="1" applyFont="1" applyBorder="1" applyAlignment="1">
      <alignment horizontal="center"/>
    </xf>
    <xf numFmtId="9" fontId="37" fillId="0" borderId="0" xfId="73" applyNumberFormat="1" applyFont="1" applyFill="1" applyBorder="1" applyAlignment="1">
      <alignment horizontal="center"/>
    </xf>
    <xf numFmtId="1" fontId="7" fillId="0" borderId="0" xfId="0" applyNumberFormat="1" applyFont="1" applyFill="1" applyBorder="1" applyAlignment="1">
      <alignment horizontal="center"/>
    </xf>
    <xf numFmtId="1" fontId="7" fillId="0" borderId="0" xfId="0" applyNumberFormat="1" applyFont="1" applyBorder="1" applyAlignment="1">
      <alignment horizontal="center"/>
    </xf>
    <xf numFmtId="1" fontId="37" fillId="0" borderId="0" xfId="0" applyNumberFormat="1" applyFont="1" applyFill="1" applyBorder="1" applyAlignment="1">
      <alignment horizontal="center"/>
    </xf>
    <xf numFmtId="0" fontId="58" fillId="0" borderId="0" xfId="0" applyFont="1" applyFill="1" applyAlignment="1">
      <alignment/>
    </xf>
    <xf numFmtId="0" fontId="58" fillId="0" borderId="0" xfId="0" applyFont="1" applyFill="1" applyBorder="1" applyAlignment="1">
      <alignment/>
    </xf>
    <xf numFmtId="9" fontId="34" fillId="0" borderId="0" xfId="73" applyFont="1" applyFill="1" applyBorder="1" applyAlignment="1">
      <alignment horizontal="right"/>
    </xf>
    <xf numFmtId="3" fontId="36" fillId="0" borderId="0" xfId="73" applyNumberFormat="1" applyFont="1" applyFill="1" applyBorder="1" applyAlignment="1">
      <alignment horizontal="right"/>
    </xf>
    <xf numFmtId="0" fontId="33" fillId="0" borderId="0" xfId="0" applyFont="1" applyFill="1" applyBorder="1" applyAlignment="1">
      <alignment horizontal="right"/>
    </xf>
    <xf numFmtId="3" fontId="7" fillId="0" borderId="0" xfId="73" applyNumberFormat="1" applyFont="1" applyFill="1" applyBorder="1" applyAlignment="1">
      <alignment horizontal="right"/>
    </xf>
    <xf numFmtId="3" fontId="37" fillId="0" borderId="0" xfId="73" applyNumberFormat="1" applyFont="1" applyFill="1" applyBorder="1" applyAlignment="1">
      <alignment horizontal="right"/>
    </xf>
    <xf numFmtId="3" fontId="7" fillId="0" borderId="0" xfId="73" applyNumberFormat="1" applyFont="1" applyBorder="1" applyAlignment="1">
      <alignment horizontal="right"/>
    </xf>
    <xf numFmtId="3" fontId="37" fillId="0" borderId="0" xfId="73" applyNumberFormat="1" applyFont="1" applyBorder="1" applyAlignment="1">
      <alignment horizontal="right"/>
    </xf>
    <xf numFmtId="3" fontId="10" fillId="0" borderId="0" xfId="73" applyNumberFormat="1" applyFont="1" applyBorder="1" applyAlignment="1">
      <alignment horizontal="right"/>
    </xf>
    <xf numFmtId="3" fontId="10" fillId="0" borderId="0" xfId="73" applyNumberFormat="1" applyFont="1" applyFill="1" applyBorder="1" applyAlignment="1">
      <alignment horizontal="right"/>
    </xf>
    <xf numFmtId="9" fontId="7" fillId="0" borderId="0" xfId="0" applyNumberFormat="1" applyFont="1" applyFill="1" applyBorder="1" applyAlignment="1">
      <alignment horizontal="right"/>
    </xf>
    <xf numFmtId="0" fontId="0" fillId="35" borderId="0" xfId="54" applyFill="1">
      <alignment/>
      <protection/>
    </xf>
    <xf numFmtId="0" fontId="0" fillId="36" borderId="0" xfId="54" applyFill="1">
      <alignment/>
      <protection/>
    </xf>
    <xf numFmtId="0" fontId="86" fillId="36" borderId="0" xfId="54" applyFont="1" applyFill="1">
      <alignment/>
      <protection/>
    </xf>
    <xf numFmtId="0" fontId="87" fillId="36" borderId="0" xfId="54" applyFont="1" applyFill="1">
      <alignment/>
      <protection/>
    </xf>
    <xf numFmtId="0" fontId="30" fillId="36" borderId="0" xfId="54" applyFont="1" applyFill="1">
      <alignment/>
      <protection/>
    </xf>
    <xf numFmtId="0" fontId="0" fillId="14" borderId="0" xfId="54" applyFill="1">
      <alignment/>
      <protection/>
    </xf>
    <xf numFmtId="0" fontId="0" fillId="35" borderId="0" xfId="54" applyFont="1" applyFill="1">
      <alignment/>
      <protection/>
    </xf>
    <xf numFmtId="49" fontId="0" fillId="35" borderId="0" xfId="54" applyNumberFormat="1" applyFont="1" applyFill="1">
      <alignment/>
      <protection/>
    </xf>
    <xf numFmtId="3" fontId="38" fillId="0" borderId="0" xfId="0" applyNumberFormat="1" applyFont="1" applyFill="1" applyAlignment="1">
      <alignment/>
    </xf>
    <xf numFmtId="9" fontId="6" fillId="0" borderId="0" xfId="73" applyFont="1" applyAlignment="1">
      <alignment horizontal="right"/>
    </xf>
    <xf numFmtId="0" fontId="31" fillId="0" borderId="0" xfId="0" applyFont="1" applyBorder="1" applyAlignment="1">
      <alignment horizontal="right"/>
    </xf>
    <xf numFmtId="177" fontId="6" fillId="0" borderId="0" xfId="0" applyNumberFormat="1" applyFont="1" applyFill="1" applyBorder="1" applyAlignment="1">
      <alignment horizontal="right"/>
    </xf>
    <xf numFmtId="0" fontId="30" fillId="0" borderId="0" xfId="54" applyFont="1">
      <alignment/>
      <protection/>
    </xf>
    <xf numFmtId="0" fontId="58" fillId="0" borderId="0" xfId="54" applyFont="1">
      <alignment/>
      <protection/>
    </xf>
    <xf numFmtId="0" fontId="31" fillId="0" borderId="10" xfId="54" applyFont="1" applyBorder="1">
      <alignment/>
      <protection/>
    </xf>
    <xf numFmtId="0" fontId="6" fillId="0" borderId="0" xfId="54" applyFont="1" applyBorder="1">
      <alignment/>
      <protection/>
    </xf>
    <xf numFmtId="3" fontId="6" fillId="0" borderId="0" xfId="54" applyNumberFormat="1" applyFont="1" applyFill="1" applyBorder="1" applyAlignment="1">
      <alignment horizontal="right" wrapText="1"/>
      <protection/>
    </xf>
    <xf numFmtId="0" fontId="33" fillId="0" borderId="0" xfId="54" applyFont="1" applyBorder="1" applyAlignment="1">
      <alignment horizontal="right"/>
      <protection/>
    </xf>
    <xf numFmtId="0" fontId="35" fillId="0" borderId="0" xfId="54" applyFont="1">
      <alignment/>
      <protection/>
    </xf>
    <xf numFmtId="0" fontId="6" fillId="0" borderId="0" xfId="54" applyFont="1" applyBorder="1" applyAlignment="1">
      <alignment horizontal="left" indent="3"/>
      <protection/>
    </xf>
    <xf numFmtId="0" fontId="7" fillId="0" borderId="0" xfId="54" applyFont="1" applyBorder="1">
      <alignment/>
      <protection/>
    </xf>
    <xf numFmtId="0" fontId="32" fillId="0" borderId="10" xfId="54" applyFont="1" applyBorder="1">
      <alignment/>
      <protection/>
    </xf>
    <xf numFmtId="0" fontId="6" fillId="0" borderId="0" xfId="54" applyFont="1" applyFill="1" applyBorder="1">
      <alignment/>
      <protection/>
    </xf>
    <xf numFmtId="3" fontId="6" fillId="0" borderId="0" xfId="54" applyNumberFormat="1" applyFont="1" applyFill="1" applyBorder="1" applyAlignment="1">
      <alignment horizontal="right"/>
      <protection/>
    </xf>
    <xf numFmtId="177" fontId="6" fillId="0" borderId="0" xfId="54" applyNumberFormat="1" applyFont="1" applyFill="1" applyBorder="1" applyAlignment="1">
      <alignment horizontal="right"/>
      <protection/>
    </xf>
    <xf numFmtId="177" fontId="6" fillId="0" borderId="0" xfId="54" applyNumberFormat="1" applyFont="1" applyBorder="1" applyAlignment="1">
      <alignment horizontal="right"/>
      <protection/>
    </xf>
    <xf numFmtId="1" fontId="7" fillId="0" borderId="11" xfId="54" applyNumberFormat="1" applyFont="1" applyBorder="1" applyAlignment="1">
      <alignment horizontal="center"/>
      <protection/>
    </xf>
    <xf numFmtId="1" fontId="37" fillId="0" borderId="11" xfId="54" applyNumberFormat="1" applyFont="1" applyFill="1" applyBorder="1" applyAlignment="1">
      <alignment horizontal="right"/>
      <protection/>
    </xf>
    <xf numFmtId="0" fontId="38" fillId="0" borderId="0" xfId="54" applyFont="1">
      <alignment/>
      <protection/>
    </xf>
    <xf numFmtId="0" fontId="6" fillId="0" borderId="0" xfId="54" applyFont="1" applyBorder="1" applyAlignment="1">
      <alignment wrapText="1"/>
      <protection/>
    </xf>
    <xf numFmtId="0" fontId="40" fillId="0" borderId="0" xfId="54" applyFont="1">
      <alignment/>
      <protection/>
    </xf>
    <xf numFmtId="181" fontId="6" fillId="0" borderId="0" xfId="54" applyNumberFormat="1" applyFont="1" applyFill="1" applyBorder="1" applyAlignment="1">
      <alignment horizontal="right"/>
      <protection/>
    </xf>
    <xf numFmtId="3" fontId="7" fillId="0" borderId="0" xfId="54" applyNumberFormat="1" applyFont="1" applyFill="1" applyBorder="1" applyAlignment="1">
      <alignment horizontal="right"/>
      <protection/>
    </xf>
    <xf numFmtId="0" fontId="9" fillId="0" borderId="0" xfId="54" applyFont="1">
      <alignment/>
      <protection/>
    </xf>
    <xf numFmtId="0" fontId="88" fillId="0" borderId="0" xfId="54" applyFont="1">
      <alignment/>
      <protection/>
    </xf>
    <xf numFmtId="187" fontId="32" fillId="37" borderId="13" xfId="67" applyNumberFormat="1" applyFont="1" applyFill="1" applyBorder="1">
      <alignment/>
      <protection/>
    </xf>
    <xf numFmtId="3" fontId="32" fillId="37" borderId="13" xfId="67" applyNumberFormat="1" applyFont="1" applyFill="1" applyBorder="1">
      <alignment/>
      <protection/>
    </xf>
    <xf numFmtId="177" fontId="32" fillId="0" borderId="16" xfId="0" applyNumberFormat="1" applyFont="1" applyFill="1" applyBorder="1" applyAlignment="1">
      <alignment horizontal="right" vertical="center" wrapText="1"/>
    </xf>
    <xf numFmtId="0" fontId="58" fillId="0" borderId="0" xfId="0" applyFont="1" applyAlignment="1">
      <alignment/>
    </xf>
    <xf numFmtId="9" fontId="33" fillId="0" borderId="0" xfId="73" applyNumberFormat="1" applyFont="1" applyBorder="1" applyAlignment="1">
      <alignment horizontal="right"/>
    </xf>
    <xf numFmtId="0" fontId="6" fillId="0" borderId="0" xfId="0" applyFont="1" applyBorder="1" applyAlignment="1">
      <alignment horizontal="left" indent="2"/>
    </xf>
    <xf numFmtId="3" fontId="89" fillId="0" borderId="0" xfId="73" applyNumberFormat="1" applyFont="1" applyFill="1" applyBorder="1" applyAlignment="1">
      <alignment horizontal="right"/>
    </xf>
    <xf numFmtId="9" fontId="89" fillId="0" borderId="0" xfId="73" applyNumberFormat="1" applyFont="1" applyFill="1" applyBorder="1" applyAlignment="1">
      <alignment horizontal="right"/>
    </xf>
    <xf numFmtId="9" fontId="33" fillId="0" borderId="0" xfId="73" applyNumberFormat="1" applyFont="1" applyFill="1" applyBorder="1" applyAlignment="1">
      <alignment horizontal="right"/>
    </xf>
    <xf numFmtId="0" fontId="35" fillId="0" borderId="0" xfId="0" applyFont="1" applyBorder="1" applyAlignment="1">
      <alignment/>
    </xf>
    <xf numFmtId="9" fontId="36" fillId="0" borderId="0" xfId="73" applyNumberFormat="1" applyFont="1" applyFill="1" applyBorder="1" applyAlignment="1">
      <alignment horizontal="right"/>
    </xf>
    <xf numFmtId="0" fontId="7" fillId="0" borderId="11" xfId="0" applyFont="1" applyFill="1" applyBorder="1" applyAlignment="1">
      <alignment/>
    </xf>
    <xf numFmtId="3" fontId="6" fillId="0" borderId="11" xfId="0" applyNumberFormat="1" applyFont="1" applyFill="1" applyBorder="1" applyAlignment="1">
      <alignment horizontal="right"/>
    </xf>
    <xf numFmtId="3" fontId="6" fillId="0" borderId="20" xfId="0" applyNumberFormat="1" applyFont="1" applyFill="1" applyBorder="1" applyAlignment="1">
      <alignment horizontal="right"/>
    </xf>
    <xf numFmtId="195" fontId="6" fillId="0" borderId="0" xfId="67" applyNumberFormat="1" applyFont="1" applyFill="1" applyBorder="1">
      <alignment/>
      <protection/>
    </xf>
    <xf numFmtId="185" fontId="6" fillId="0" borderId="0" xfId="0" applyNumberFormat="1" applyFont="1" applyFill="1" applyBorder="1" applyAlignment="1">
      <alignment horizontal="right"/>
    </xf>
    <xf numFmtId="185" fontId="6" fillId="0" borderId="0" xfId="0" applyNumberFormat="1" applyFont="1" applyBorder="1" applyAlignment="1">
      <alignment horizontal="right"/>
    </xf>
    <xf numFmtId="2" fontId="6" fillId="0" borderId="0" xfId="0" applyNumberFormat="1" applyFont="1" applyBorder="1" applyAlignment="1">
      <alignment horizontal="right"/>
    </xf>
    <xf numFmtId="2" fontId="6" fillId="0" borderId="0" xfId="0" applyNumberFormat="1" applyFont="1" applyFill="1" applyBorder="1" applyAlignment="1">
      <alignment horizontal="right"/>
    </xf>
    <xf numFmtId="192" fontId="6" fillId="0" borderId="0" xfId="0" applyNumberFormat="1" applyFont="1" applyFill="1" applyBorder="1" applyAlignment="1">
      <alignment horizontal="right"/>
    </xf>
    <xf numFmtId="3" fontId="6" fillId="0" borderId="0" xfId="0" applyNumberFormat="1" applyFont="1" applyAlignment="1">
      <alignment/>
    </xf>
    <xf numFmtId="0" fontId="7" fillId="0" borderId="0" xfId="0" applyFont="1" applyBorder="1" applyAlignment="1">
      <alignment wrapText="1"/>
    </xf>
    <xf numFmtId="0" fontId="33" fillId="0" borderId="0" xfId="0" applyFont="1" applyBorder="1" applyAlignment="1">
      <alignment horizontal="left" indent="2"/>
    </xf>
    <xf numFmtId="3" fontId="7" fillId="0" borderId="0" xfId="0" applyNumberFormat="1" applyFont="1" applyFill="1" applyBorder="1" applyAlignment="1">
      <alignment horizontal="right" vertical="center"/>
    </xf>
    <xf numFmtId="3" fontId="7" fillId="0" borderId="0" xfId="73" applyNumberFormat="1" applyFont="1" applyFill="1" applyBorder="1" applyAlignment="1">
      <alignment horizontal="right" vertical="center"/>
    </xf>
    <xf numFmtId="3" fontId="7" fillId="0" borderId="0" xfId="73" applyNumberFormat="1" applyFont="1" applyBorder="1" applyAlignment="1">
      <alignment horizontal="right" vertical="center"/>
    </xf>
    <xf numFmtId="3" fontId="37" fillId="0" borderId="0" xfId="0" applyNumberFormat="1" applyFont="1" applyFill="1" applyBorder="1" applyAlignment="1">
      <alignment horizontal="right" vertical="center"/>
    </xf>
    <xf numFmtId="3" fontId="38" fillId="0" borderId="0" xfId="0" applyNumberFormat="1" applyFont="1" applyAlignment="1">
      <alignment horizontal="right" vertical="center"/>
    </xf>
    <xf numFmtId="9" fontId="34" fillId="0" borderId="0" xfId="73" applyFont="1" applyBorder="1" applyAlignment="1">
      <alignment horizontal="right"/>
    </xf>
    <xf numFmtId="3" fontId="7" fillId="0" borderId="0" xfId="0" applyNumberFormat="1" applyFont="1" applyBorder="1" applyAlignment="1">
      <alignment horizontal="left" vertical="center"/>
    </xf>
    <xf numFmtId="14" fontId="62" fillId="33" borderId="0" xfId="0" applyNumberFormat="1" applyFont="1" applyFill="1" applyBorder="1" applyAlignment="1">
      <alignment horizontal="center" vertical="center" wrapText="1"/>
    </xf>
    <xf numFmtId="0" fontId="62" fillId="33" borderId="0" xfId="0" applyFont="1" applyFill="1" applyBorder="1" applyAlignment="1">
      <alignment horizontal="center" vertical="center" wrapText="1"/>
    </xf>
  </cellXfs>
  <cellStyles count="8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umm.Ledg-CB"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10" xfId="55"/>
    <cellStyle name="Обычный 2 11" xfId="56"/>
    <cellStyle name="Обычный 2 12" xfId="57"/>
    <cellStyle name="Обычный 2 2" xfId="58"/>
    <cellStyle name="Обычный 2 3" xfId="59"/>
    <cellStyle name="Обычный 2 4" xfId="60"/>
    <cellStyle name="Обычный 2 5" xfId="61"/>
    <cellStyle name="Обычный 2 6" xfId="62"/>
    <cellStyle name="Обычный 2 7" xfId="63"/>
    <cellStyle name="Обычный 2 8" xfId="64"/>
    <cellStyle name="Обычный 2 9" xfId="65"/>
    <cellStyle name="Обычный 3" xfId="66"/>
    <cellStyle name="Обычный_P&amp;L 2003-2006" xfId="67"/>
    <cellStyle name="Обычный_Копия Копия ВАЖНО Конс_бюджет!!!" xfId="68"/>
    <cellStyle name="Followed Hyperlink" xfId="69"/>
    <cellStyle name="Плохой" xfId="70"/>
    <cellStyle name="Пояснение" xfId="71"/>
    <cellStyle name="Примечание" xfId="72"/>
    <cellStyle name="Percent" xfId="73"/>
    <cellStyle name="Процентный 2 10" xfId="74"/>
    <cellStyle name="Процентный 2 11" xfId="75"/>
    <cellStyle name="Процентный 2 12" xfId="76"/>
    <cellStyle name="Процентный 2 2" xfId="77"/>
    <cellStyle name="Процентный 2 3" xfId="78"/>
    <cellStyle name="Процентный 2 4" xfId="79"/>
    <cellStyle name="Процентный 2 5" xfId="80"/>
    <cellStyle name="Процентный 2 6" xfId="81"/>
    <cellStyle name="Процентный 2 7" xfId="82"/>
    <cellStyle name="Процентный 2 8" xfId="83"/>
    <cellStyle name="Процентный 2 9" xfId="84"/>
    <cellStyle name="Связанная ячейка" xfId="85"/>
    <cellStyle name="Текст предупреждения" xfId="86"/>
    <cellStyle name="Comma" xfId="87"/>
    <cellStyle name="Comma [0]" xfId="88"/>
    <cellStyle name="Финансовый 2 10" xfId="89"/>
    <cellStyle name="Финансовый 2 11" xfId="90"/>
    <cellStyle name="Финансовый 2 12" xfId="91"/>
    <cellStyle name="Финансовый 2 2" xfId="92"/>
    <cellStyle name="Финансовый 2 3" xfId="93"/>
    <cellStyle name="Финансовый 2 4" xfId="94"/>
    <cellStyle name="Финансовый 2 5" xfId="95"/>
    <cellStyle name="Финансовый 2 6" xfId="96"/>
    <cellStyle name="Финансовый 2 7" xfId="97"/>
    <cellStyle name="Финансовый 2 8" xfId="98"/>
    <cellStyle name="Финансовый 2 9" xfId="99"/>
    <cellStyle name="Хороший"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13</xdr:row>
      <xdr:rowOff>142875</xdr:rowOff>
    </xdr:from>
    <xdr:to>
      <xdr:col>10</xdr:col>
      <xdr:colOff>257175</xdr:colOff>
      <xdr:row>26</xdr:row>
      <xdr:rowOff>104775</xdr:rowOff>
    </xdr:to>
    <xdr:sp>
      <xdr:nvSpPr>
        <xdr:cNvPr id="1" name="TextBox 1"/>
        <xdr:cNvSpPr txBox="1">
          <a:spLocks noChangeArrowheads="1"/>
        </xdr:cNvSpPr>
      </xdr:nvSpPr>
      <xdr:spPr>
        <a:xfrm>
          <a:off x="1866900" y="2352675"/>
          <a:ext cx="4752975" cy="2066925"/>
        </a:xfrm>
        <a:prstGeom prst="rect">
          <a:avLst/>
        </a:prstGeom>
        <a:solidFill>
          <a:srgbClr val="FFFFFF"/>
        </a:solidFill>
        <a:ln w="9525" cmpd="sng">
          <a:noFill/>
        </a:ln>
      </xdr:spPr>
      <xdr:txBody>
        <a:bodyPr vertOverflow="clip" wrap="square"/>
        <a:p>
          <a:pPr algn="l">
            <a:defRPr/>
          </a:pPr>
          <a:r>
            <a:rPr lang="en-US" cap="none" sz="3600" b="0" i="0" u="none" baseline="0">
              <a:solidFill>
                <a:srgbClr val="333399"/>
              </a:solidFill>
              <a:latin typeface="Calibri"/>
              <a:ea typeface="Calibri"/>
              <a:cs typeface="Calibri"/>
            </a:rPr>
            <a:t>NLMK</a:t>
          </a:r>
          <a:r>
            <a:rPr lang="en-US" cap="none" sz="3600" b="0" i="0" u="none" baseline="0">
              <a:solidFill>
                <a:srgbClr val="333399"/>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2400" b="1" i="0" u="none" baseline="0">
              <a:solidFill>
                <a:srgbClr val="333333"/>
              </a:solidFill>
              <a:latin typeface="Calibri"/>
              <a:ea typeface="Calibri"/>
              <a:cs typeface="Calibri"/>
            </a:rPr>
            <a:t>Investor Relations 
</a:t>
          </a:r>
          <a:r>
            <a:rPr lang="en-US" cap="none" sz="1100" b="0" i="0" u="none" baseline="0">
              <a:solidFill>
                <a:srgbClr val="333333"/>
              </a:solidFill>
              <a:latin typeface="Calibri"/>
              <a:ea typeface="Calibri"/>
              <a:cs typeface="Calibri"/>
            </a:rPr>
            <a:t>
</a:t>
          </a:r>
          <a:r>
            <a:rPr lang="en-US" cap="none" sz="1100" b="0" i="0" u="none" baseline="0">
              <a:solidFill>
                <a:srgbClr val="333333"/>
              </a:solidFill>
              <a:latin typeface="Calibri"/>
              <a:ea typeface="Calibri"/>
              <a:cs typeface="Calibri"/>
            </a:rPr>
            <a:t>+7 495 915 1575
</a:t>
          </a:r>
          <a:r>
            <a:rPr lang="en-US" cap="none" sz="1100" b="0" i="0" u="none" baseline="0">
              <a:solidFill>
                <a:srgbClr val="333333"/>
              </a:solidFill>
              <a:latin typeface="Calibri"/>
              <a:ea typeface="Calibri"/>
              <a:cs typeface="Calibri"/>
            </a:rPr>
            <a:t>
</a:t>
          </a:r>
          <a:r>
            <a:rPr lang="en-US" cap="none" sz="1100" b="0" i="0" u="none" baseline="0">
              <a:solidFill>
                <a:srgbClr val="333333"/>
              </a:solidFill>
              <a:latin typeface="Calibri"/>
              <a:ea typeface="Calibri"/>
              <a:cs typeface="Calibri"/>
            </a:rPr>
            <a:t>tahiev_sa@nlmk.com </a:t>
          </a:r>
        </a:p>
      </xdr:txBody>
    </xdr:sp>
    <xdr:clientData/>
  </xdr:twoCellAnchor>
  <xdr:twoCellAnchor editAs="oneCell">
    <xdr:from>
      <xdr:col>0</xdr:col>
      <xdr:colOff>171450</xdr:colOff>
      <xdr:row>3</xdr:row>
      <xdr:rowOff>152400</xdr:rowOff>
    </xdr:from>
    <xdr:to>
      <xdr:col>1</xdr:col>
      <xdr:colOff>552450</xdr:colOff>
      <xdr:row>6</xdr:row>
      <xdr:rowOff>57150</xdr:rowOff>
    </xdr:to>
    <xdr:pic>
      <xdr:nvPicPr>
        <xdr:cNvPr id="2" name="Рисунок 3" descr="NLMK-eng-white.gif"/>
        <xdr:cNvPicPr preferRelativeResize="1">
          <a:picLocks noChangeAspect="1"/>
        </xdr:cNvPicPr>
      </xdr:nvPicPr>
      <xdr:blipFill>
        <a:blip r:embed="rId1"/>
        <a:stretch>
          <a:fillRect/>
        </a:stretch>
      </xdr:blipFill>
      <xdr:spPr>
        <a:xfrm>
          <a:off x="171450" y="638175"/>
          <a:ext cx="9906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6:H16"/>
  <sheetViews>
    <sheetView tabSelected="1" zoomScalePageLayoutView="0" workbookViewId="0" topLeftCell="A1">
      <selection activeCell="Q30" sqref="Q30"/>
    </sheetView>
  </sheetViews>
  <sheetFormatPr defaultColWidth="9.140625" defaultRowHeight="12.75"/>
  <cols>
    <col min="1" max="2" width="9.140625" style="272" customWidth="1"/>
    <col min="3" max="3" width="12.00390625" style="272" bestFit="1" customWidth="1"/>
    <col min="4" max="4" width="9.140625" style="272" customWidth="1"/>
    <col min="5" max="5" width="10.28125" style="272" customWidth="1"/>
    <col min="6" max="16384" width="9.140625" style="272" customWidth="1"/>
  </cols>
  <sheetData>
    <row r="4" s="273" customFormat="1" ht="12.75"/>
    <row r="5" s="273" customFormat="1" ht="12.75"/>
    <row r="6" spans="4:8" s="273" customFormat="1" ht="21">
      <c r="D6" s="274" t="s">
        <v>199</v>
      </c>
      <c r="E6" s="275"/>
      <c r="F6" s="275"/>
      <c r="G6" s="275"/>
      <c r="H6" s="275"/>
    </row>
    <row r="7" spans="4:8" s="273" customFormat="1" ht="12.75">
      <c r="D7" s="275"/>
      <c r="E7" s="275"/>
      <c r="F7" s="275"/>
      <c r="G7" s="275"/>
      <c r="H7" s="275"/>
    </row>
    <row r="8" spans="4:8" s="273" customFormat="1" ht="12.75">
      <c r="D8" s="275" t="s">
        <v>200</v>
      </c>
      <c r="E8" s="275"/>
      <c r="F8" s="275"/>
      <c r="G8" s="275"/>
      <c r="H8" s="275"/>
    </row>
    <row r="9" spans="4:8" s="273" customFormat="1" ht="12.75">
      <c r="D9" s="276"/>
      <c r="E9" s="276"/>
      <c r="F9" s="276"/>
      <c r="G9" s="276"/>
      <c r="H9" s="276"/>
    </row>
    <row r="10" spans="4:8" s="273" customFormat="1" ht="12.75">
      <c r="D10" s="275" t="s">
        <v>270</v>
      </c>
      <c r="E10" s="276"/>
      <c r="F10" s="276"/>
      <c r="G10" s="276"/>
      <c r="H10" s="276"/>
    </row>
    <row r="11" s="273" customFormat="1" ht="12.75"/>
    <row r="12" s="273" customFormat="1" ht="12.75"/>
    <row r="13" s="277" customFormat="1" ht="12.75"/>
    <row r="14" ht="12.75">
      <c r="C14" s="278"/>
    </row>
    <row r="15" ht="12.75">
      <c r="C15" s="278"/>
    </row>
    <row r="16" ht="12.75">
      <c r="C16" s="279"/>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R178"/>
  <sheetViews>
    <sheetView showGridLines="0" view="pageBreakPreview" zoomScaleNormal="85" zoomScaleSheetLayoutView="100" zoomScalePageLayoutView="0" workbookViewId="0" topLeftCell="A1">
      <pane xSplit="1" ySplit="3" topLeftCell="M4" activePane="bottomRight" state="frozen"/>
      <selection pane="topLeft" activeCell="A1" sqref="A1"/>
      <selection pane="topRight" activeCell="B1" sqref="B1"/>
      <selection pane="bottomLeft" activeCell="A4" sqref="A4"/>
      <selection pane="bottomRight" activeCell="AI51" sqref="AI51"/>
    </sheetView>
  </sheetViews>
  <sheetFormatPr defaultColWidth="9.140625" defaultRowHeight="12.75" outlineLevelCol="1"/>
  <cols>
    <col min="1" max="1" width="37.57421875" style="88" customWidth="1"/>
    <col min="2" max="2" width="9.140625" style="66" hidden="1" customWidth="1" outlineLevel="1"/>
    <col min="3" max="3" width="9.8515625" style="66" hidden="1" customWidth="1" outlineLevel="1"/>
    <col min="4" max="4" width="9.7109375" style="66" hidden="1" customWidth="1" outlineLevel="1"/>
    <col min="5" max="5" width="8.421875" style="66" hidden="1" customWidth="1" outlineLevel="1"/>
    <col min="6" max="6" width="7.7109375" style="66" hidden="1" customWidth="1" outlineLevel="1"/>
    <col min="7" max="7" width="8.8515625" style="1" hidden="1" customWidth="1" outlineLevel="1"/>
    <col min="8" max="9" width="9.00390625" style="1" hidden="1" customWidth="1" outlineLevel="1"/>
    <col min="10" max="10" width="9.00390625" style="66" hidden="1" customWidth="1" outlineLevel="1"/>
    <col min="11" max="11" width="8.8515625" style="66" hidden="1" customWidth="1" outlineLevel="1"/>
    <col min="12" max="12" width="9.57421875" style="193" hidden="1" customWidth="1" outlineLevel="1"/>
    <col min="13" max="13" width="9.7109375" style="193" customWidth="1" collapsed="1"/>
    <col min="14" max="16" width="11.28125" style="66" hidden="1" customWidth="1" outlineLevel="1"/>
    <col min="17" max="17" width="11.28125" style="66" customWidth="1" collapsed="1"/>
    <col min="18" max="20" width="11.28125" style="66" hidden="1" customWidth="1" outlineLevel="1"/>
    <col min="21" max="21" width="11.28125" style="66" customWidth="1" collapsed="1"/>
    <col min="22" max="24" width="11.28125" style="66" hidden="1" customWidth="1" outlineLevel="1"/>
    <col min="25" max="25" width="11.28125" style="66" customWidth="1" collapsed="1"/>
    <col min="26" max="28" width="11.28125" style="66" hidden="1" customWidth="1" outlineLevel="1"/>
    <col min="29" max="29" width="11.28125" style="66" customWidth="1" collapsed="1"/>
    <col min="30" max="35" width="11.28125" style="66" customWidth="1"/>
    <col min="36" max="36" width="6.421875" style="66" customWidth="1"/>
    <col min="37" max="39" width="11.28125" style="1" customWidth="1"/>
    <col min="40" max="44" width="10.140625" style="1" customWidth="1"/>
    <col min="45" max="16384" width="9.140625" style="1" customWidth="1"/>
  </cols>
  <sheetData>
    <row r="1" spans="1:37" ht="15.75">
      <c r="A1" s="156"/>
      <c r="B1" s="156"/>
      <c r="C1" s="337"/>
      <c r="D1" s="157"/>
      <c r="E1" s="337"/>
      <c r="F1" s="157"/>
      <c r="G1" s="337"/>
      <c r="H1" s="157"/>
      <c r="I1" s="337"/>
      <c r="J1" s="157"/>
      <c r="K1" s="157"/>
      <c r="L1" s="158"/>
      <c r="M1" s="158"/>
      <c r="N1" s="157"/>
      <c r="O1" s="157"/>
      <c r="P1" s="157"/>
      <c r="Q1" s="157"/>
      <c r="R1" s="157"/>
      <c r="S1" s="157"/>
      <c r="T1" s="157"/>
      <c r="U1" s="157"/>
      <c r="V1" s="157"/>
      <c r="W1" s="157"/>
      <c r="X1" s="157"/>
      <c r="Y1" s="157"/>
      <c r="Z1" s="157"/>
      <c r="AA1" s="157"/>
      <c r="AB1" s="157"/>
      <c r="AC1" s="157"/>
      <c r="AD1" s="157"/>
      <c r="AE1" s="157"/>
      <c r="AF1" s="157"/>
      <c r="AG1" s="157"/>
      <c r="AH1" s="157"/>
      <c r="AI1" s="157"/>
      <c r="AJ1" s="157"/>
      <c r="AK1" s="50"/>
    </row>
    <row r="2" spans="1:37" s="88" customFormat="1" ht="12" customHeight="1" thickBot="1">
      <c r="A2" s="159" t="s">
        <v>146</v>
      </c>
      <c r="B2" s="160"/>
      <c r="C2" s="338"/>
      <c r="D2" s="161"/>
      <c r="E2" s="338"/>
      <c r="F2" s="161"/>
      <c r="G2" s="338"/>
      <c r="H2" s="161"/>
      <c r="I2" s="338"/>
      <c r="J2" s="161"/>
      <c r="K2" s="161"/>
      <c r="L2" s="162"/>
      <c r="M2" s="162"/>
      <c r="N2" s="161"/>
      <c r="O2" s="161"/>
      <c r="P2" s="161"/>
      <c r="Q2" s="161"/>
      <c r="R2" s="161"/>
      <c r="S2" s="161"/>
      <c r="T2" s="161"/>
      <c r="U2" s="161"/>
      <c r="V2" s="161"/>
      <c r="W2" s="161"/>
      <c r="X2" s="161"/>
      <c r="Y2" s="161"/>
      <c r="Z2" s="161"/>
      <c r="AA2" s="161"/>
      <c r="AB2" s="161"/>
      <c r="AC2" s="161"/>
      <c r="AD2" s="161"/>
      <c r="AE2" s="161"/>
      <c r="AF2" s="161"/>
      <c r="AG2" s="161"/>
      <c r="AH2" s="161"/>
      <c r="AI2" s="161"/>
      <c r="AJ2" s="161"/>
      <c r="AK2" s="7"/>
    </row>
    <row r="3" spans="1:44" s="88" customFormat="1" ht="12" thickBot="1">
      <c r="A3" s="161" t="s">
        <v>96</v>
      </c>
      <c r="B3" s="163">
        <v>38807</v>
      </c>
      <c r="C3" s="163">
        <v>38898</v>
      </c>
      <c r="D3" s="163">
        <v>38990</v>
      </c>
      <c r="E3" s="163">
        <v>39082</v>
      </c>
      <c r="F3" s="163">
        <v>39172</v>
      </c>
      <c r="G3" s="163">
        <v>39263</v>
      </c>
      <c r="H3" s="163">
        <v>39355</v>
      </c>
      <c r="I3" s="163">
        <v>39447</v>
      </c>
      <c r="J3" s="164">
        <v>39538</v>
      </c>
      <c r="K3" s="164">
        <v>39629</v>
      </c>
      <c r="L3" s="164">
        <v>39721</v>
      </c>
      <c r="M3" s="164">
        <v>39813</v>
      </c>
      <c r="N3" s="164">
        <v>39903</v>
      </c>
      <c r="O3" s="164">
        <v>39994</v>
      </c>
      <c r="P3" s="164">
        <v>40086</v>
      </c>
      <c r="Q3" s="164">
        <v>40178</v>
      </c>
      <c r="R3" s="164">
        <v>40268</v>
      </c>
      <c r="S3" s="164">
        <v>40359</v>
      </c>
      <c r="T3" s="164">
        <v>40451</v>
      </c>
      <c r="U3" s="164">
        <v>40543</v>
      </c>
      <c r="V3" s="164">
        <v>40633</v>
      </c>
      <c r="W3" s="164">
        <v>40724</v>
      </c>
      <c r="X3" s="164">
        <v>40816</v>
      </c>
      <c r="Y3" s="164">
        <v>40908</v>
      </c>
      <c r="Z3" s="164">
        <v>40999</v>
      </c>
      <c r="AA3" s="164">
        <v>41090</v>
      </c>
      <c r="AB3" s="164">
        <v>41182</v>
      </c>
      <c r="AC3" s="164">
        <v>41274</v>
      </c>
      <c r="AD3" s="164">
        <v>41364</v>
      </c>
      <c r="AE3" s="164">
        <v>41455</v>
      </c>
      <c r="AF3" s="164">
        <v>41547</v>
      </c>
      <c r="AG3" s="164">
        <v>41639</v>
      </c>
      <c r="AH3" s="164">
        <v>41729</v>
      </c>
      <c r="AI3" s="164">
        <v>41820</v>
      </c>
      <c r="AJ3" s="164"/>
      <c r="AK3" s="163">
        <v>39082</v>
      </c>
      <c r="AL3" s="163" t="s">
        <v>145</v>
      </c>
      <c r="AM3" s="163" t="s">
        <v>166</v>
      </c>
      <c r="AN3" s="163" t="s">
        <v>186</v>
      </c>
      <c r="AO3" s="163" t="s">
        <v>208</v>
      </c>
      <c r="AP3" s="163" t="s">
        <v>216</v>
      </c>
      <c r="AQ3" s="163" t="s">
        <v>243</v>
      </c>
      <c r="AR3" s="163" t="s">
        <v>260</v>
      </c>
    </row>
    <row r="4" spans="1:44" s="88" customFormat="1" ht="11.25">
      <c r="A4" s="165" t="s">
        <v>97</v>
      </c>
      <c r="B4" s="166">
        <v>3864609</v>
      </c>
      <c r="C4" s="166">
        <v>3287409</v>
      </c>
      <c r="D4" s="166">
        <v>3555670</v>
      </c>
      <c r="E4" s="166">
        <v>3049600</v>
      </c>
      <c r="F4" s="166">
        <v>3483971</v>
      </c>
      <c r="G4" s="166">
        <v>3628552</v>
      </c>
      <c r="H4" s="166">
        <v>3903819</v>
      </c>
      <c r="I4" s="166">
        <v>4388178</v>
      </c>
      <c r="J4" s="166">
        <v>5094285</v>
      </c>
      <c r="K4" s="166">
        <v>5248871</v>
      </c>
      <c r="L4" s="166">
        <v>6702226</v>
      </c>
      <c r="M4" s="166">
        <v>5346079</v>
      </c>
      <c r="N4" s="166">
        <v>4271170</v>
      </c>
      <c r="O4" s="166">
        <v>4161055</v>
      </c>
      <c r="P4" s="166">
        <v>3853755</v>
      </c>
      <c r="Q4" s="166">
        <v>3876746</v>
      </c>
      <c r="R4" s="166">
        <v>4091054</v>
      </c>
      <c r="S4" s="166">
        <v>4150214</v>
      </c>
      <c r="T4" s="166">
        <v>4372272</v>
      </c>
      <c r="U4" s="166">
        <v>4105349</v>
      </c>
      <c r="V4" s="166">
        <v>4437647</v>
      </c>
      <c r="W4" s="166">
        <v>4810908</v>
      </c>
      <c r="X4" s="166">
        <v>5644099</v>
      </c>
      <c r="Y4" s="166">
        <v>5503764</v>
      </c>
      <c r="Z4" s="166">
        <v>5713851</v>
      </c>
      <c r="AA4" s="166">
        <f>SUM(AA5:AA11)</f>
        <v>5229994</v>
      </c>
      <c r="AB4" s="166">
        <v>6287494</v>
      </c>
      <c r="AC4" s="166">
        <v>5469390</v>
      </c>
      <c r="AD4" s="166">
        <v>5833598</v>
      </c>
      <c r="AE4" s="166">
        <f>SUM(AE5:AE11)</f>
        <v>5537198</v>
      </c>
      <c r="AF4" s="166">
        <f>SUM(AF5:AF11)</f>
        <v>4917760</v>
      </c>
      <c r="AG4" s="166">
        <f>SUM(AG5:AG11)</f>
        <v>5101867</v>
      </c>
      <c r="AH4" s="166">
        <f>SUM(AH5:AH11)</f>
        <v>4965598</v>
      </c>
      <c r="AI4" s="166">
        <f>SUM(AI5:AI11)</f>
        <v>5138486</v>
      </c>
      <c r="AJ4" s="166"/>
      <c r="AK4" s="166">
        <v>3049600</v>
      </c>
      <c r="AL4" s="166">
        <v>4388178</v>
      </c>
      <c r="AM4" s="166">
        <v>5346079</v>
      </c>
      <c r="AN4" s="166">
        <f aca="true" t="shared" si="0" ref="AN4:AN9">Q4</f>
        <v>3876746</v>
      </c>
      <c r="AO4" s="166">
        <f aca="true" t="shared" si="1" ref="AO4:AO9">U4</f>
        <v>4105349</v>
      </c>
      <c r="AP4" s="166">
        <f aca="true" t="shared" si="2" ref="AP4:AP9">Y4</f>
        <v>5503764</v>
      </c>
      <c r="AQ4" s="166">
        <f aca="true" t="shared" si="3" ref="AQ4:AQ9">AC4</f>
        <v>5469390</v>
      </c>
      <c r="AR4" s="166">
        <f aca="true" t="shared" si="4" ref="AR4:AR9">AG4</f>
        <v>5101867</v>
      </c>
    </row>
    <row r="5" spans="1:44" s="101" customFormat="1" ht="11.25">
      <c r="A5" s="167" t="s">
        <v>98</v>
      </c>
      <c r="B5" s="168">
        <v>2271264</v>
      </c>
      <c r="C5" s="168">
        <v>1385593</v>
      </c>
      <c r="D5" s="168">
        <v>1342436</v>
      </c>
      <c r="E5" s="168">
        <v>665213</v>
      </c>
      <c r="F5" s="168">
        <v>898309</v>
      </c>
      <c r="G5" s="168">
        <v>1348556</v>
      </c>
      <c r="H5" s="168">
        <v>1388468</v>
      </c>
      <c r="I5" s="168">
        <v>1154641</v>
      </c>
      <c r="J5" s="168">
        <v>1181374</v>
      </c>
      <c r="K5" s="168">
        <v>1325342</v>
      </c>
      <c r="L5" s="169">
        <v>2735428</v>
      </c>
      <c r="M5" s="169">
        <v>2159989</v>
      </c>
      <c r="N5" s="168">
        <v>1546145</v>
      </c>
      <c r="O5" s="168">
        <v>1590511</v>
      </c>
      <c r="P5" s="168">
        <v>1641568</v>
      </c>
      <c r="Q5" s="168">
        <v>1247048</v>
      </c>
      <c r="R5" s="168">
        <v>1157305</v>
      </c>
      <c r="S5" s="168">
        <v>953185</v>
      </c>
      <c r="T5" s="168">
        <v>779931</v>
      </c>
      <c r="U5" s="168">
        <v>747979</v>
      </c>
      <c r="V5" s="168">
        <v>977350</v>
      </c>
      <c r="W5" s="168">
        <v>911435</v>
      </c>
      <c r="X5" s="168">
        <v>830031</v>
      </c>
      <c r="Y5" s="168">
        <v>797169</v>
      </c>
      <c r="Z5" s="168">
        <v>925712</v>
      </c>
      <c r="AA5" s="168">
        <v>769159</v>
      </c>
      <c r="AB5" s="168">
        <v>1802885</v>
      </c>
      <c r="AC5" s="168">
        <v>951247</v>
      </c>
      <c r="AD5" s="168">
        <v>1219830</v>
      </c>
      <c r="AE5" s="168">
        <v>1240724</v>
      </c>
      <c r="AF5" s="168">
        <v>835355</v>
      </c>
      <c r="AG5" s="168">
        <v>969992</v>
      </c>
      <c r="AH5" s="168">
        <v>829934</v>
      </c>
      <c r="AI5" s="168">
        <v>939067</v>
      </c>
      <c r="AJ5" s="168"/>
      <c r="AK5" s="168">
        <v>665213</v>
      </c>
      <c r="AL5" s="168">
        <v>1154641</v>
      </c>
      <c r="AM5" s="168">
        <v>2159989</v>
      </c>
      <c r="AN5" s="168">
        <f t="shared" si="0"/>
        <v>1247048</v>
      </c>
      <c r="AO5" s="168">
        <f t="shared" si="1"/>
        <v>747979</v>
      </c>
      <c r="AP5" s="168">
        <f t="shared" si="2"/>
        <v>797169</v>
      </c>
      <c r="AQ5" s="168">
        <f t="shared" si="3"/>
        <v>951247</v>
      </c>
      <c r="AR5" s="168">
        <f t="shared" si="4"/>
        <v>969992</v>
      </c>
    </row>
    <row r="6" spans="1:44" s="101" customFormat="1" ht="11.25">
      <c r="A6" s="167" t="s">
        <v>99</v>
      </c>
      <c r="B6" s="168">
        <v>22892</v>
      </c>
      <c r="C6" s="168">
        <v>20786</v>
      </c>
      <c r="D6" s="168">
        <v>53262</v>
      </c>
      <c r="E6" s="168">
        <v>37261</v>
      </c>
      <c r="F6" s="168">
        <v>36672</v>
      </c>
      <c r="G6" s="168">
        <v>136710</v>
      </c>
      <c r="H6" s="168">
        <v>144407</v>
      </c>
      <c r="I6" s="168">
        <v>153462</v>
      </c>
      <c r="J6" s="168">
        <v>176863</v>
      </c>
      <c r="K6" s="168">
        <v>180813</v>
      </c>
      <c r="L6" s="169">
        <v>14089</v>
      </c>
      <c r="M6" s="169">
        <v>8089</v>
      </c>
      <c r="N6" s="168">
        <v>338301</v>
      </c>
      <c r="O6" s="168">
        <v>467342</v>
      </c>
      <c r="P6" s="168">
        <v>126465</v>
      </c>
      <c r="Q6" s="168">
        <v>451910</v>
      </c>
      <c r="R6" s="168">
        <v>424221</v>
      </c>
      <c r="S6" s="168">
        <v>464933</v>
      </c>
      <c r="T6" s="168">
        <v>725649</v>
      </c>
      <c r="U6" s="168">
        <v>422643</v>
      </c>
      <c r="V6" s="168">
        <v>265312</v>
      </c>
      <c r="W6" s="168">
        <v>202048</v>
      </c>
      <c r="X6" s="168">
        <v>58853</v>
      </c>
      <c r="Y6" s="168">
        <v>227279</v>
      </c>
      <c r="Z6" s="168">
        <v>10789</v>
      </c>
      <c r="AA6" s="168">
        <v>10496</v>
      </c>
      <c r="AB6" s="168">
        <v>10726</v>
      </c>
      <c r="AC6" s="168">
        <v>106906</v>
      </c>
      <c r="AD6" s="168">
        <v>271190</v>
      </c>
      <c r="AE6" s="168">
        <v>121215</v>
      </c>
      <c r="AF6" s="168">
        <v>516106</v>
      </c>
      <c r="AG6" s="168">
        <v>484981</v>
      </c>
      <c r="AH6" s="168">
        <v>753489</v>
      </c>
      <c r="AI6" s="168">
        <v>791624</v>
      </c>
      <c r="AJ6" s="168"/>
      <c r="AK6" s="168">
        <v>37261</v>
      </c>
      <c r="AL6" s="168">
        <v>153462</v>
      </c>
      <c r="AM6" s="168">
        <v>8089</v>
      </c>
      <c r="AN6" s="168">
        <f t="shared" si="0"/>
        <v>451910</v>
      </c>
      <c r="AO6" s="168">
        <f t="shared" si="1"/>
        <v>422643</v>
      </c>
      <c r="AP6" s="168">
        <f t="shared" si="2"/>
        <v>227279</v>
      </c>
      <c r="AQ6" s="168">
        <f t="shared" si="3"/>
        <v>106906</v>
      </c>
      <c r="AR6" s="168">
        <f t="shared" si="4"/>
        <v>484981</v>
      </c>
    </row>
    <row r="7" spans="1:44" s="101" customFormat="1" ht="11.25">
      <c r="A7" s="167" t="s">
        <v>100</v>
      </c>
      <c r="B7" s="168">
        <v>763653</v>
      </c>
      <c r="C7" s="168">
        <v>966059</v>
      </c>
      <c r="D7" s="168">
        <v>1100058</v>
      </c>
      <c r="E7" s="168">
        <v>1150492</v>
      </c>
      <c r="F7" s="168">
        <v>1251869</v>
      </c>
      <c r="G7" s="168">
        <v>1110116</v>
      </c>
      <c r="H7" s="168">
        <v>1194199</v>
      </c>
      <c r="I7" s="168">
        <v>1696451</v>
      </c>
      <c r="J7" s="168">
        <v>2039857</v>
      </c>
      <c r="K7" s="168">
        <v>1822499</v>
      </c>
      <c r="L7" s="169">
        <v>1779496</v>
      </c>
      <c r="M7" s="169">
        <v>1487847</v>
      </c>
      <c r="N7" s="168">
        <v>1187166</v>
      </c>
      <c r="O7" s="168">
        <v>882295</v>
      </c>
      <c r="P7" s="168">
        <v>907612</v>
      </c>
      <c r="Q7" s="168">
        <v>913192</v>
      </c>
      <c r="R7" s="168">
        <v>1064812</v>
      </c>
      <c r="S7" s="168">
        <v>1213487</v>
      </c>
      <c r="T7" s="168">
        <v>1188805</v>
      </c>
      <c r="U7" s="168">
        <v>1259596</v>
      </c>
      <c r="V7" s="168">
        <v>1294869</v>
      </c>
      <c r="W7" s="168">
        <v>1668670</v>
      </c>
      <c r="X7" s="168">
        <v>1693607</v>
      </c>
      <c r="Y7" s="168">
        <v>1572641</v>
      </c>
      <c r="Z7" s="168">
        <v>1786206</v>
      </c>
      <c r="AA7" s="168">
        <v>1641946</v>
      </c>
      <c r="AB7" s="168">
        <v>1558727</v>
      </c>
      <c r="AC7" s="168">
        <v>1490951</v>
      </c>
      <c r="AD7" s="168">
        <v>1556860</v>
      </c>
      <c r="AE7" s="168">
        <v>1497143</v>
      </c>
      <c r="AF7" s="168">
        <v>1540138</v>
      </c>
      <c r="AG7" s="168">
        <v>1437697</v>
      </c>
      <c r="AH7" s="168">
        <v>1543871</v>
      </c>
      <c r="AI7" s="168">
        <v>1561154</v>
      </c>
      <c r="AJ7" s="168"/>
      <c r="AK7" s="168">
        <v>1150492</v>
      </c>
      <c r="AL7" s="168">
        <v>1696451</v>
      </c>
      <c r="AM7" s="168">
        <v>1487847</v>
      </c>
      <c r="AN7" s="168">
        <f t="shared" si="0"/>
        <v>913192</v>
      </c>
      <c r="AO7" s="168">
        <f t="shared" si="1"/>
        <v>1259596</v>
      </c>
      <c r="AP7" s="168">
        <f t="shared" si="2"/>
        <v>1572641</v>
      </c>
      <c r="AQ7" s="168">
        <f t="shared" si="3"/>
        <v>1490951</v>
      </c>
      <c r="AR7" s="168">
        <f t="shared" si="4"/>
        <v>1437697</v>
      </c>
    </row>
    <row r="8" spans="1:44" s="101" customFormat="1" ht="11.25">
      <c r="A8" s="167" t="s">
        <v>101</v>
      </c>
      <c r="B8" s="168">
        <v>560685</v>
      </c>
      <c r="C8" s="168">
        <v>643027</v>
      </c>
      <c r="D8" s="168">
        <v>750637</v>
      </c>
      <c r="E8" s="168">
        <v>856940</v>
      </c>
      <c r="F8" s="168">
        <v>873728</v>
      </c>
      <c r="G8" s="168">
        <v>936248</v>
      </c>
      <c r="H8" s="168">
        <v>1042745</v>
      </c>
      <c r="I8" s="168">
        <v>1236433</v>
      </c>
      <c r="J8" s="168">
        <v>1527368</v>
      </c>
      <c r="K8" s="168">
        <v>1735205</v>
      </c>
      <c r="L8" s="169">
        <v>2033011</v>
      </c>
      <c r="M8" s="169">
        <v>1555762</v>
      </c>
      <c r="N8" s="168">
        <v>1050121</v>
      </c>
      <c r="O8" s="168">
        <v>1031256</v>
      </c>
      <c r="P8" s="168">
        <v>1052255</v>
      </c>
      <c r="Q8" s="168">
        <v>1134095</v>
      </c>
      <c r="R8" s="168">
        <v>1324455</v>
      </c>
      <c r="S8" s="168">
        <v>1401348</v>
      </c>
      <c r="T8" s="168">
        <v>1563896</v>
      </c>
      <c r="U8" s="168">
        <v>1580068</v>
      </c>
      <c r="V8" s="168">
        <v>1784383</v>
      </c>
      <c r="W8" s="168">
        <v>1923015</v>
      </c>
      <c r="X8" s="168">
        <v>2939463</v>
      </c>
      <c r="Y8" s="168">
        <v>2828433</v>
      </c>
      <c r="Z8" s="168">
        <v>2903925</v>
      </c>
      <c r="AA8" s="168">
        <v>2732839</v>
      </c>
      <c r="AB8" s="168">
        <v>2819055</v>
      </c>
      <c r="AC8" s="168">
        <v>2826933</v>
      </c>
      <c r="AD8" s="168">
        <v>2689179</v>
      </c>
      <c r="AE8" s="168">
        <v>2530187</v>
      </c>
      <c r="AF8" s="168">
        <v>1897135</v>
      </c>
      <c r="AG8" s="168">
        <v>2123755</v>
      </c>
      <c r="AH8" s="168">
        <v>1731229</v>
      </c>
      <c r="AI8" s="168">
        <v>1735344</v>
      </c>
      <c r="AJ8" s="168"/>
      <c r="AK8" s="168">
        <v>856940</v>
      </c>
      <c r="AL8" s="168">
        <v>1236433</v>
      </c>
      <c r="AM8" s="168">
        <v>1555762</v>
      </c>
      <c r="AN8" s="168">
        <f t="shared" si="0"/>
        <v>1134095</v>
      </c>
      <c r="AO8" s="168">
        <f t="shared" si="1"/>
        <v>1580068</v>
      </c>
      <c r="AP8" s="168">
        <f t="shared" si="2"/>
        <v>2828433</v>
      </c>
      <c r="AQ8" s="168">
        <f t="shared" si="3"/>
        <v>2826933</v>
      </c>
      <c r="AR8" s="168">
        <f t="shared" si="4"/>
        <v>2123755</v>
      </c>
    </row>
    <row r="9" spans="1:44" s="88" customFormat="1" ht="11.25">
      <c r="A9" s="167" t="s">
        <v>102</v>
      </c>
      <c r="B9" s="168">
        <v>237941</v>
      </c>
      <c r="C9" s="168">
        <v>263037</v>
      </c>
      <c r="D9" s="168">
        <v>299132</v>
      </c>
      <c r="E9" s="168">
        <v>331322</v>
      </c>
      <c r="F9" s="168">
        <v>369780</v>
      </c>
      <c r="G9" s="168">
        <v>96922</v>
      </c>
      <c r="H9" s="168">
        <v>134000</v>
      </c>
      <c r="I9" s="168">
        <v>147191</v>
      </c>
      <c r="J9" s="168">
        <v>168823</v>
      </c>
      <c r="K9" s="168">
        <v>172223</v>
      </c>
      <c r="L9" s="169">
        <v>129111</v>
      </c>
      <c r="M9" s="169">
        <v>99960</v>
      </c>
      <c r="N9" s="168">
        <v>90417</v>
      </c>
      <c r="O9" s="168">
        <v>94233</v>
      </c>
      <c r="P9" s="168">
        <v>92768</v>
      </c>
      <c r="Q9" s="168">
        <v>58034</v>
      </c>
      <c r="R9" s="168">
        <v>61517</v>
      </c>
      <c r="S9" s="168">
        <v>59101</v>
      </c>
      <c r="T9" s="168">
        <v>62015</v>
      </c>
      <c r="U9" s="168">
        <v>51994</v>
      </c>
      <c r="V9" s="168">
        <v>64590</v>
      </c>
      <c r="W9" s="168">
        <v>61597</v>
      </c>
      <c r="X9" s="168">
        <v>69132</v>
      </c>
      <c r="Y9" s="168">
        <v>59355</v>
      </c>
      <c r="Z9" s="168">
        <v>63306</v>
      </c>
      <c r="AA9" s="168">
        <v>47227</v>
      </c>
      <c r="AB9" s="168">
        <v>42333</v>
      </c>
      <c r="AC9" s="168">
        <v>30394</v>
      </c>
      <c r="AD9" s="168">
        <v>25040</v>
      </c>
      <c r="AE9" s="168">
        <v>26581</v>
      </c>
      <c r="AF9" s="168">
        <v>9308</v>
      </c>
      <c r="AG9" s="168">
        <v>7578</v>
      </c>
      <c r="AH9" s="168">
        <v>17300</v>
      </c>
      <c r="AI9" s="168">
        <v>15513</v>
      </c>
      <c r="AJ9" s="168"/>
      <c r="AK9" s="168">
        <v>331322</v>
      </c>
      <c r="AL9" s="168">
        <v>147191</v>
      </c>
      <c r="AM9" s="168">
        <v>99960</v>
      </c>
      <c r="AN9" s="168">
        <f t="shared" si="0"/>
        <v>58034</v>
      </c>
      <c r="AO9" s="168">
        <f t="shared" si="1"/>
        <v>51994</v>
      </c>
      <c r="AP9" s="168">
        <f t="shared" si="2"/>
        <v>59355</v>
      </c>
      <c r="AQ9" s="168">
        <f t="shared" si="3"/>
        <v>30394</v>
      </c>
      <c r="AR9" s="168">
        <f t="shared" si="4"/>
        <v>7578</v>
      </c>
    </row>
    <row r="10" spans="1:44" s="88" customFormat="1" ht="11.25">
      <c r="A10" s="170" t="s">
        <v>103</v>
      </c>
      <c r="B10" s="169">
        <v>8174</v>
      </c>
      <c r="C10" s="169">
        <v>8907</v>
      </c>
      <c r="D10" s="169">
        <v>10145</v>
      </c>
      <c r="E10" s="169">
        <v>8372</v>
      </c>
      <c r="F10" s="169">
        <v>9249</v>
      </c>
      <c r="G10" s="169"/>
      <c r="H10" s="169"/>
      <c r="I10" s="169"/>
      <c r="J10" s="169"/>
      <c r="K10" s="169">
        <v>12789</v>
      </c>
      <c r="L10" s="169">
        <v>11091</v>
      </c>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v>8372</v>
      </c>
      <c r="AL10" s="169"/>
      <c r="AM10" s="169"/>
      <c r="AN10" s="169"/>
      <c r="AO10" s="169"/>
      <c r="AP10" s="169"/>
      <c r="AQ10" s="169"/>
      <c r="AR10" s="169"/>
    </row>
    <row r="11" spans="1:44" s="88" customFormat="1" ht="11.25">
      <c r="A11" s="170" t="s">
        <v>174</v>
      </c>
      <c r="B11" s="169"/>
      <c r="C11" s="169"/>
      <c r="D11" s="169"/>
      <c r="E11" s="169"/>
      <c r="F11" s="169"/>
      <c r="G11" s="169"/>
      <c r="H11" s="169"/>
      <c r="I11" s="169"/>
      <c r="J11" s="169"/>
      <c r="K11" s="169"/>
      <c r="L11" s="169"/>
      <c r="M11" s="169"/>
      <c r="N11" s="171">
        <v>59020</v>
      </c>
      <c r="O11" s="171">
        <v>95418</v>
      </c>
      <c r="P11" s="169">
        <v>33087</v>
      </c>
      <c r="Q11" s="169">
        <v>72467</v>
      </c>
      <c r="R11" s="169">
        <v>58744</v>
      </c>
      <c r="S11" s="169">
        <v>58160</v>
      </c>
      <c r="T11" s="169">
        <v>51976</v>
      </c>
      <c r="U11" s="169">
        <v>43069</v>
      </c>
      <c r="V11" s="169">
        <v>51143</v>
      </c>
      <c r="W11" s="169">
        <v>44143</v>
      </c>
      <c r="X11" s="169">
        <v>53013</v>
      </c>
      <c r="Y11" s="169">
        <v>18887</v>
      </c>
      <c r="Z11" s="169">
        <v>23913</v>
      </c>
      <c r="AA11" s="169">
        <v>28327</v>
      </c>
      <c r="AB11" s="169">
        <v>53768</v>
      </c>
      <c r="AC11" s="169">
        <v>62959</v>
      </c>
      <c r="AD11" s="169">
        <v>71499</v>
      </c>
      <c r="AE11" s="169">
        <v>121348</v>
      </c>
      <c r="AF11" s="169">
        <v>119718</v>
      </c>
      <c r="AG11" s="169">
        <v>77864</v>
      </c>
      <c r="AH11" s="169">
        <v>89775</v>
      </c>
      <c r="AI11" s="169">
        <v>95784</v>
      </c>
      <c r="AJ11" s="169"/>
      <c r="AK11" s="169"/>
      <c r="AL11" s="169"/>
      <c r="AM11" s="169"/>
      <c r="AN11" s="169">
        <f>Q11</f>
        <v>72467</v>
      </c>
      <c r="AO11" s="169">
        <f>U11</f>
        <v>43069</v>
      </c>
      <c r="AP11" s="169">
        <f>Y11</f>
        <v>18887</v>
      </c>
      <c r="AQ11" s="169">
        <f>AC11</f>
        <v>62959</v>
      </c>
      <c r="AR11" s="169">
        <f>AG11</f>
        <v>77864</v>
      </c>
    </row>
    <row r="12" spans="1:44" s="88" customFormat="1" ht="11.25">
      <c r="A12" s="167" t="s">
        <v>104</v>
      </c>
      <c r="B12" s="168"/>
      <c r="C12" s="168"/>
      <c r="D12" s="168"/>
      <c r="E12" s="168"/>
      <c r="F12" s="168">
        <v>44364</v>
      </c>
      <c r="G12" s="168"/>
      <c r="H12" s="168"/>
      <c r="I12" s="168"/>
      <c r="J12" s="168"/>
      <c r="K12" s="168"/>
      <c r="L12" s="169"/>
      <c r="M12" s="169">
        <v>34432</v>
      </c>
      <c r="N12" s="169"/>
      <c r="O12" s="169"/>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v>34432</v>
      </c>
      <c r="AN12" s="168"/>
      <c r="AO12" s="168"/>
      <c r="AP12" s="168"/>
      <c r="AQ12" s="168"/>
      <c r="AR12" s="168"/>
    </row>
    <row r="13" spans="1:44" s="117" customFormat="1" ht="11.25">
      <c r="A13" s="172"/>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row>
    <row r="14" spans="1:44" s="121" customFormat="1" ht="11.25">
      <c r="A14" s="173" t="s">
        <v>105</v>
      </c>
      <c r="B14" s="174">
        <v>2960430</v>
      </c>
      <c r="C14" s="174">
        <v>4086758</v>
      </c>
      <c r="D14" s="174">
        <v>4734423</v>
      </c>
      <c r="E14" s="174">
        <v>5667390</v>
      </c>
      <c r="F14" s="174">
        <v>5820576</v>
      </c>
      <c r="G14" s="174">
        <v>5782964</v>
      </c>
      <c r="H14" s="174">
        <v>6105316</v>
      </c>
      <c r="I14" s="174">
        <v>8687764</v>
      </c>
      <c r="J14" s="174">
        <v>9318349</v>
      </c>
      <c r="K14" s="174">
        <v>9863550</v>
      </c>
      <c r="L14" s="174">
        <v>9816489</v>
      </c>
      <c r="M14" s="174">
        <v>8718449</v>
      </c>
      <c r="N14" s="174">
        <v>7526035</v>
      </c>
      <c r="O14" s="174">
        <v>8178392</v>
      </c>
      <c r="P14" s="174">
        <v>8596391</v>
      </c>
      <c r="Q14" s="174">
        <v>8625198</v>
      </c>
      <c r="R14" s="174">
        <v>8937930</v>
      </c>
      <c r="S14" s="174">
        <v>8712877</v>
      </c>
      <c r="T14" s="174">
        <v>9507938</v>
      </c>
      <c r="U14" s="174">
        <v>9793676</v>
      </c>
      <c r="V14" s="174">
        <v>10712834</v>
      </c>
      <c r="W14" s="174">
        <v>11139627</v>
      </c>
      <c r="X14" s="174">
        <v>11440015</v>
      </c>
      <c r="Y14" s="174">
        <v>11753412</v>
      </c>
      <c r="Z14" s="174">
        <v>12894664</v>
      </c>
      <c r="AA14" s="174">
        <f>SUM(AA15:AA21)</f>
        <v>11872801</v>
      </c>
      <c r="AB14" s="174">
        <v>12661054</v>
      </c>
      <c r="AC14" s="174">
        <v>12988130</v>
      </c>
      <c r="AD14" s="174">
        <v>12676702</v>
      </c>
      <c r="AE14" s="174">
        <f>SUM(AE15:AE21)</f>
        <v>12100624</v>
      </c>
      <c r="AF14" s="174">
        <f>SUM(AF15:AF21)</f>
        <v>11387664</v>
      </c>
      <c r="AG14" s="174">
        <f>SUM(AG15:AG21)</f>
        <v>11182214</v>
      </c>
      <c r="AH14" s="174">
        <f>SUM(AH15:AH21)</f>
        <v>10240647</v>
      </c>
      <c r="AI14" s="174">
        <f>SUM(AI15:AI21)</f>
        <v>10724921</v>
      </c>
      <c r="AJ14" s="174"/>
      <c r="AK14" s="174">
        <v>5667390</v>
      </c>
      <c r="AL14" s="174">
        <v>8687764</v>
      </c>
      <c r="AM14" s="174">
        <v>8718449</v>
      </c>
      <c r="AN14" s="174">
        <f aca="true" t="shared" si="5" ref="AN14:AN19">Q14</f>
        <v>8625198</v>
      </c>
      <c r="AO14" s="174">
        <f aca="true" t="shared" si="6" ref="AO14:AO19">U14</f>
        <v>9793676</v>
      </c>
      <c r="AP14" s="174">
        <f aca="true" t="shared" si="7" ref="AP14:AP19">Y14</f>
        <v>11753412</v>
      </c>
      <c r="AQ14" s="174">
        <f aca="true" t="shared" si="8" ref="AQ14:AQ19">AC14</f>
        <v>12988130</v>
      </c>
      <c r="AR14" s="174">
        <f aca="true" t="shared" si="9" ref="AR14:AR19">AG14</f>
        <v>11182214</v>
      </c>
    </row>
    <row r="15" spans="1:44" s="121" customFormat="1" ht="11.25">
      <c r="A15" s="167" t="s">
        <v>106</v>
      </c>
      <c r="B15" s="168">
        <v>33775</v>
      </c>
      <c r="C15" s="168">
        <v>6799</v>
      </c>
      <c r="D15" s="168">
        <v>5379</v>
      </c>
      <c r="E15" s="168">
        <v>810350</v>
      </c>
      <c r="F15" s="168">
        <v>855667</v>
      </c>
      <c r="G15" s="168">
        <v>860958</v>
      </c>
      <c r="H15" s="168">
        <v>880077</v>
      </c>
      <c r="I15" s="168">
        <v>818590</v>
      </c>
      <c r="J15" s="168">
        <v>863541</v>
      </c>
      <c r="K15" s="168">
        <v>893998</v>
      </c>
      <c r="L15" s="169">
        <v>1022437</v>
      </c>
      <c r="M15" s="169">
        <v>815527</v>
      </c>
      <c r="N15" s="168">
        <v>718793</v>
      </c>
      <c r="O15" s="168">
        <v>748477</v>
      </c>
      <c r="P15" s="168">
        <v>720283</v>
      </c>
      <c r="Q15" s="168">
        <v>468236</v>
      </c>
      <c r="R15" s="168">
        <v>401727</v>
      </c>
      <c r="S15" s="168">
        <v>386550</v>
      </c>
      <c r="T15" s="168">
        <v>729274</v>
      </c>
      <c r="U15" s="168">
        <v>687665</v>
      </c>
      <c r="V15" s="168">
        <v>727897</v>
      </c>
      <c r="W15" s="168">
        <v>932375</v>
      </c>
      <c r="X15" s="168">
        <v>8523</v>
      </c>
      <c r="Y15" s="168">
        <v>8420</v>
      </c>
      <c r="Z15" s="168">
        <v>8545</v>
      </c>
      <c r="AA15" s="168">
        <v>8820</v>
      </c>
      <c r="AB15" s="168">
        <v>13055</v>
      </c>
      <c r="AC15" s="168">
        <v>19293</v>
      </c>
      <c r="AD15" s="168">
        <v>20404</v>
      </c>
      <c r="AE15" s="168">
        <v>17108</v>
      </c>
      <c r="AF15" s="168">
        <v>552207</v>
      </c>
      <c r="AG15" s="168">
        <v>501074</v>
      </c>
      <c r="AH15" s="168">
        <v>443478</v>
      </c>
      <c r="AI15" s="168">
        <v>465882</v>
      </c>
      <c r="AJ15" s="168"/>
      <c r="AK15" s="168">
        <v>810350</v>
      </c>
      <c r="AL15" s="168">
        <v>818590</v>
      </c>
      <c r="AM15" s="168">
        <v>815527</v>
      </c>
      <c r="AN15" s="168">
        <f t="shared" si="5"/>
        <v>468236</v>
      </c>
      <c r="AO15" s="168">
        <f t="shared" si="6"/>
        <v>687665</v>
      </c>
      <c r="AP15" s="168">
        <f t="shared" si="7"/>
        <v>8420</v>
      </c>
      <c r="AQ15" s="168">
        <f t="shared" si="8"/>
        <v>19293</v>
      </c>
      <c r="AR15" s="168">
        <f t="shared" si="9"/>
        <v>501074</v>
      </c>
    </row>
    <row r="16" spans="1:44" s="121" customFormat="1" ht="11.25">
      <c r="A16" s="167" t="s">
        <v>107</v>
      </c>
      <c r="B16" s="168">
        <v>2586216</v>
      </c>
      <c r="C16" s="168">
        <v>3340863</v>
      </c>
      <c r="D16" s="168">
        <v>3770049</v>
      </c>
      <c r="E16" s="168">
        <v>3988128</v>
      </c>
      <c r="F16" s="168">
        <v>3984585</v>
      </c>
      <c r="G16" s="168">
        <v>4128397</v>
      </c>
      <c r="H16" s="168">
        <v>4409144</v>
      </c>
      <c r="I16" s="168">
        <v>6449877</v>
      </c>
      <c r="J16" s="168">
        <v>6969404</v>
      </c>
      <c r="K16" s="168">
        <v>7347584</v>
      </c>
      <c r="L16" s="169">
        <v>7304906</v>
      </c>
      <c r="M16" s="169">
        <v>6826139</v>
      </c>
      <c r="N16" s="168">
        <v>6031938</v>
      </c>
      <c r="O16" s="168">
        <v>6611587</v>
      </c>
      <c r="P16" s="168">
        <v>7025656</v>
      </c>
      <c r="Q16" s="168">
        <v>7316180</v>
      </c>
      <c r="R16" s="168">
        <v>7687965</v>
      </c>
      <c r="S16" s="168">
        <v>7532176</v>
      </c>
      <c r="T16" s="168">
        <v>7986898</v>
      </c>
      <c r="U16" s="168">
        <v>8382478</v>
      </c>
      <c r="V16" s="168">
        <v>9222783</v>
      </c>
      <c r="W16" s="168">
        <v>9436150</v>
      </c>
      <c r="X16" s="168">
        <v>10275196</v>
      </c>
      <c r="Y16" s="168">
        <v>10569828</v>
      </c>
      <c r="Z16" s="168">
        <v>11664334</v>
      </c>
      <c r="AA16" s="168">
        <v>10716421</v>
      </c>
      <c r="AB16" s="168">
        <v>11458385</v>
      </c>
      <c r="AC16" s="168">
        <v>11753157</v>
      </c>
      <c r="AD16" s="168">
        <v>11442403</v>
      </c>
      <c r="AE16" s="168">
        <v>10981399</v>
      </c>
      <c r="AF16" s="168">
        <v>10163384</v>
      </c>
      <c r="AG16" s="168">
        <v>10002996</v>
      </c>
      <c r="AH16" s="168">
        <v>9161990</v>
      </c>
      <c r="AI16" s="168">
        <v>9609510</v>
      </c>
      <c r="AJ16" s="168"/>
      <c r="AK16" s="168">
        <v>3988128</v>
      </c>
      <c r="AL16" s="168">
        <v>6449877</v>
      </c>
      <c r="AM16" s="168">
        <v>6826139</v>
      </c>
      <c r="AN16" s="168">
        <f t="shared" si="5"/>
        <v>7316180</v>
      </c>
      <c r="AO16" s="168">
        <f t="shared" si="6"/>
        <v>8382478</v>
      </c>
      <c r="AP16" s="168">
        <f t="shared" si="7"/>
        <v>10569828</v>
      </c>
      <c r="AQ16" s="168">
        <f t="shared" si="8"/>
        <v>11753157</v>
      </c>
      <c r="AR16" s="168">
        <f t="shared" si="9"/>
        <v>10002996</v>
      </c>
    </row>
    <row r="17" spans="1:44" s="121" customFormat="1" ht="11.25">
      <c r="A17" s="167" t="s">
        <v>108</v>
      </c>
      <c r="B17" s="168">
        <v>20370</v>
      </c>
      <c r="C17" s="168">
        <v>19796</v>
      </c>
      <c r="D17" s="168">
        <v>201859</v>
      </c>
      <c r="E17" s="168">
        <v>199030</v>
      </c>
      <c r="F17" s="168">
        <v>195467</v>
      </c>
      <c r="G17" s="168">
        <v>191223</v>
      </c>
      <c r="H17" s="168">
        <v>191948</v>
      </c>
      <c r="I17" s="168">
        <v>189084</v>
      </c>
      <c r="J17" s="168">
        <v>191090</v>
      </c>
      <c r="K17" s="168">
        <v>278391</v>
      </c>
      <c r="L17" s="169">
        <v>252813</v>
      </c>
      <c r="M17" s="169">
        <v>235283</v>
      </c>
      <c r="N17" s="168">
        <v>210751</v>
      </c>
      <c r="O17" s="168">
        <v>213440</v>
      </c>
      <c r="P17" s="168">
        <v>211031</v>
      </c>
      <c r="Q17" s="168">
        <v>203490</v>
      </c>
      <c r="R17" s="168">
        <v>201104</v>
      </c>
      <c r="S17" s="168">
        <v>189690</v>
      </c>
      <c r="T17" s="168">
        <v>186696</v>
      </c>
      <c r="U17" s="168">
        <v>181136</v>
      </c>
      <c r="V17" s="168">
        <v>181431</v>
      </c>
      <c r="W17" s="168">
        <v>176777</v>
      </c>
      <c r="X17" s="168">
        <v>172753</v>
      </c>
      <c r="Y17" s="168">
        <v>158611</v>
      </c>
      <c r="Z17" s="168">
        <v>158678</v>
      </c>
      <c r="AA17" s="168">
        <v>148457</v>
      </c>
      <c r="AB17" s="168">
        <v>146286</v>
      </c>
      <c r="AC17" s="168">
        <v>141922</v>
      </c>
      <c r="AD17" s="168">
        <v>135919</v>
      </c>
      <c r="AE17" s="168">
        <v>129115</v>
      </c>
      <c r="AF17" s="168">
        <v>121279</v>
      </c>
      <c r="AG17" s="168">
        <v>115958</v>
      </c>
      <c r="AH17" s="168">
        <v>109804</v>
      </c>
      <c r="AI17" s="168">
        <v>93118</v>
      </c>
      <c r="AJ17" s="168"/>
      <c r="AK17" s="168">
        <v>199030</v>
      </c>
      <c r="AL17" s="168">
        <v>189084</v>
      </c>
      <c r="AM17" s="168">
        <v>235283</v>
      </c>
      <c r="AN17" s="168">
        <f t="shared" si="5"/>
        <v>203490</v>
      </c>
      <c r="AO17" s="168">
        <f t="shared" si="6"/>
        <v>181136</v>
      </c>
      <c r="AP17" s="168">
        <f t="shared" si="7"/>
        <v>158611</v>
      </c>
      <c r="AQ17" s="168">
        <f t="shared" si="8"/>
        <v>141922</v>
      </c>
      <c r="AR17" s="168">
        <f t="shared" si="9"/>
        <v>115958</v>
      </c>
    </row>
    <row r="18" spans="1:44" s="88" customFormat="1" ht="11.25">
      <c r="A18" s="167" t="s">
        <v>109</v>
      </c>
      <c r="B18" s="168">
        <v>196804</v>
      </c>
      <c r="C18" s="168">
        <v>588640</v>
      </c>
      <c r="D18" s="168">
        <v>635647</v>
      </c>
      <c r="E18" s="168">
        <v>559703</v>
      </c>
      <c r="F18" s="168">
        <v>566584</v>
      </c>
      <c r="G18" s="168">
        <v>570866</v>
      </c>
      <c r="H18" s="168">
        <v>590702</v>
      </c>
      <c r="I18" s="168">
        <v>1189459</v>
      </c>
      <c r="J18" s="168">
        <v>1241588</v>
      </c>
      <c r="K18" s="168">
        <v>1283840</v>
      </c>
      <c r="L18" s="169">
        <v>1161434</v>
      </c>
      <c r="M18" s="169">
        <v>613668</v>
      </c>
      <c r="N18" s="168">
        <v>530080</v>
      </c>
      <c r="O18" s="168">
        <v>576704</v>
      </c>
      <c r="P18" s="168">
        <v>603140</v>
      </c>
      <c r="Q18" s="168">
        <v>556636</v>
      </c>
      <c r="R18" s="168">
        <v>572175</v>
      </c>
      <c r="S18" s="168">
        <v>540818</v>
      </c>
      <c r="T18" s="168">
        <v>554070</v>
      </c>
      <c r="U18" s="168">
        <v>494654</v>
      </c>
      <c r="V18" s="168">
        <v>527790</v>
      </c>
      <c r="W18" s="168">
        <v>533954</v>
      </c>
      <c r="X18" s="168">
        <v>727928</v>
      </c>
      <c r="Y18" s="168">
        <v>760166</v>
      </c>
      <c r="Z18" s="168">
        <v>802476</v>
      </c>
      <c r="AA18" s="168">
        <v>751981</v>
      </c>
      <c r="AB18" s="168">
        <v>778068</v>
      </c>
      <c r="AC18" s="168">
        <v>786141</v>
      </c>
      <c r="AD18" s="168">
        <v>775655</v>
      </c>
      <c r="AE18" s="168">
        <v>753381</v>
      </c>
      <c r="AF18" s="168">
        <v>468463</v>
      </c>
      <c r="AG18" s="168">
        <v>463409</v>
      </c>
      <c r="AH18" s="168">
        <v>428131</v>
      </c>
      <c r="AI18" s="168">
        <v>452001</v>
      </c>
      <c r="AJ18" s="168"/>
      <c r="AK18" s="168">
        <v>559703</v>
      </c>
      <c r="AL18" s="168">
        <v>1189459</v>
      </c>
      <c r="AM18" s="168">
        <v>613668</v>
      </c>
      <c r="AN18" s="168">
        <f t="shared" si="5"/>
        <v>556636</v>
      </c>
      <c r="AO18" s="168">
        <f t="shared" si="6"/>
        <v>494654</v>
      </c>
      <c r="AP18" s="168">
        <f t="shared" si="7"/>
        <v>760166</v>
      </c>
      <c r="AQ18" s="168">
        <f t="shared" si="8"/>
        <v>786141</v>
      </c>
      <c r="AR18" s="168">
        <f t="shared" si="9"/>
        <v>463409</v>
      </c>
    </row>
    <row r="19" spans="1:44" s="121" customFormat="1" ht="11.25">
      <c r="A19" s="170" t="s">
        <v>110</v>
      </c>
      <c r="B19" s="169">
        <v>123265</v>
      </c>
      <c r="C19" s="169">
        <v>130660</v>
      </c>
      <c r="D19" s="169">
        <v>121489</v>
      </c>
      <c r="E19" s="169">
        <v>110179</v>
      </c>
      <c r="F19" s="169">
        <v>103872</v>
      </c>
      <c r="G19" s="169">
        <v>31520</v>
      </c>
      <c r="H19" s="169">
        <v>33445</v>
      </c>
      <c r="I19" s="169">
        <v>40754</v>
      </c>
      <c r="J19" s="169">
        <v>52726</v>
      </c>
      <c r="K19" s="169">
        <v>59737</v>
      </c>
      <c r="L19" s="169">
        <v>74899</v>
      </c>
      <c r="M19" s="169">
        <v>33546</v>
      </c>
      <c r="N19" s="169">
        <v>34473</v>
      </c>
      <c r="O19" s="169">
        <v>28184</v>
      </c>
      <c r="P19" s="169">
        <v>36281</v>
      </c>
      <c r="Q19" s="169">
        <v>68457</v>
      </c>
      <c r="R19" s="169">
        <v>49112</v>
      </c>
      <c r="S19" s="169">
        <v>40891</v>
      </c>
      <c r="T19" s="169">
        <v>19973</v>
      </c>
      <c r="U19" s="169">
        <v>26356</v>
      </c>
      <c r="V19" s="169">
        <v>25343</v>
      </c>
      <c r="W19" s="169">
        <v>22486</v>
      </c>
      <c r="X19" s="169">
        <v>10438</v>
      </c>
      <c r="Y19" s="169">
        <v>19274</v>
      </c>
      <c r="Z19" s="169">
        <v>243895</v>
      </c>
      <c r="AA19" s="169">
        <v>17283</v>
      </c>
      <c r="AB19" s="169">
        <v>25358</v>
      </c>
      <c r="AC19" s="169">
        <v>38052</v>
      </c>
      <c r="AD19" s="169">
        <v>36203</v>
      </c>
      <c r="AE19" s="169">
        <v>30639</v>
      </c>
      <c r="AF19" s="169">
        <v>32419</v>
      </c>
      <c r="AG19" s="169">
        <v>40192</v>
      </c>
      <c r="AH19" s="169">
        <v>38918</v>
      </c>
      <c r="AI19" s="169">
        <v>61703</v>
      </c>
      <c r="AJ19" s="169"/>
      <c r="AK19" s="169">
        <v>110179</v>
      </c>
      <c r="AL19" s="169">
        <v>40754</v>
      </c>
      <c r="AM19" s="169">
        <v>33546</v>
      </c>
      <c r="AN19" s="169">
        <f t="shared" si="5"/>
        <v>68457</v>
      </c>
      <c r="AO19" s="169">
        <f t="shared" si="6"/>
        <v>26356</v>
      </c>
      <c r="AP19" s="169">
        <f t="shared" si="7"/>
        <v>19274</v>
      </c>
      <c r="AQ19" s="169">
        <f t="shared" si="8"/>
        <v>38052</v>
      </c>
      <c r="AR19" s="169">
        <f t="shared" si="9"/>
        <v>40192</v>
      </c>
    </row>
    <row r="20" spans="1:44" s="121" customFormat="1" ht="11.25">
      <c r="A20" s="167" t="s">
        <v>111</v>
      </c>
      <c r="B20" s="168"/>
      <c r="C20" s="168"/>
      <c r="D20" s="168"/>
      <c r="E20" s="168"/>
      <c r="F20" s="168">
        <v>114401</v>
      </c>
      <c r="G20" s="168"/>
      <c r="H20" s="168"/>
      <c r="I20" s="168"/>
      <c r="J20" s="168"/>
      <c r="K20" s="168"/>
      <c r="L20" s="169"/>
      <c r="M20" s="169">
        <v>194286</v>
      </c>
      <c r="N20" s="168"/>
      <c r="O20" s="168"/>
      <c r="P20" s="168"/>
      <c r="Q20" s="168"/>
      <c r="AJ20" s="168"/>
      <c r="AK20" s="168"/>
      <c r="AL20" s="168"/>
      <c r="AM20" s="168">
        <v>194286</v>
      </c>
      <c r="AN20" s="168"/>
      <c r="AO20" s="168"/>
      <c r="AP20" s="168"/>
      <c r="AQ20" s="168"/>
      <c r="AR20" s="168"/>
    </row>
    <row r="21" spans="1:44" s="121" customFormat="1" ht="11.25">
      <c r="A21" s="170" t="s">
        <v>174</v>
      </c>
      <c r="B21" s="168"/>
      <c r="C21" s="168"/>
      <c r="D21" s="168"/>
      <c r="E21" s="168"/>
      <c r="F21" s="168"/>
      <c r="G21" s="168"/>
      <c r="H21" s="168"/>
      <c r="I21" s="168"/>
      <c r="J21" s="168"/>
      <c r="K21" s="168"/>
      <c r="L21" s="169"/>
      <c r="M21" s="169"/>
      <c r="N21" s="168"/>
      <c r="O21" s="168"/>
      <c r="P21" s="168"/>
      <c r="Q21" s="168">
        <v>12199</v>
      </c>
      <c r="R21" s="168">
        <v>25847</v>
      </c>
      <c r="S21" s="168">
        <v>22752</v>
      </c>
      <c r="T21" s="168">
        <v>31027</v>
      </c>
      <c r="U21" s="168">
        <v>21387</v>
      </c>
      <c r="V21" s="168">
        <v>27590</v>
      </c>
      <c r="W21" s="169">
        <v>37885</v>
      </c>
      <c r="X21" s="169">
        <v>245177</v>
      </c>
      <c r="Y21" s="169">
        <v>237113</v>
      </c>
      <c r="Z21" s="169">
        <v>16736</v>
      </c>
      <c r="AA21" s="169">
        <v>229839</v>
      </c>
      <c r="AB21" s="169">
        <v>239902</v>
      </c>
      <c r="AC21" s="169">
        <v>249565</v>
      </c>
      <c r="AD21" s="169">
        <v>266118</v>
      </c>
      <c r="AE21" s="169">
        <v>188982</v>
      </c>
      <c r="AF21" s="169">
        <v>49912</v>
      </c>
      <c r="AG21" s="169">
        <v>58585</v>
      </c>
      <c r="AH21" s="169">
        <v>58326</v>
      </c>
      <c r="AI21" s="169">
        <v>42707</v>
      </c>
      <c r="AJ21" s="168"/>
      <c r="AK21" s="168"/>
      <c r="AL21" s="168"/>
      <c r="AM21" s="168"/>
      <c r="AN21" s="168">
        <f>Q21</f>
        <v>12199</v>
      </c>
      <c r="AO21" s="168">
        <f>U21</f>
        <v>21387</v>
      </c>
      <c r="AP21" s="168">
        <f>Y21</f>
        <v>237113</v>
      </c>
      <c r="AQ21" s="168">
        <f>AC21</f>
        <v>249565</v>
      </c>
      <c r="AR21" s="168">
        <f>AG21</f>
        <v>58585</v>
      </c>
    </row>
    <row r="22" spans="1:44" s="121" customFormat="1" ht="12" thickBot="1">
      <c r="A22" s="170"/>
      <c r="B22" s="168"/>
      <c r="C22" s="168"/>
      <c r="D22" s="168"/>
      <c r="E22" s="168"/>
      <c r="F22" s="168"/>
      <c r="G22" s="168"/>
      <c r="H22" s="168"/>
      <c r="I22" s="168"/>
      <c r="J22" s="168"/>
      <c r="K22" s="168"/>
      <c r="L22" s="169"/>
      <c r="M22" s="169"/>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row>
    <row r="23" spans="1:44" s="121" customFormat="1" ht="12" thickBot="1">
      <c r="A23" s="85" t="s">
        <v>112</v>
      </c>
      <c r="B23" s="175">
        <v>6825039</v>
      </c>
      <c r="C23" s="175">
        <v>7374167</v>
      </c>
      <c r="D23" s="175">
        <v>8290093</v>
      </c>
      <c r="E23" s="175">
        <v>8716990</v>
      </c>
      <c r="F23" s="175">
        <v>9304547</v>
      </c>
      <c r="G23" s="175">
        <v>9411516</v>
      </c>
      <c r="H23" s="175">
        <v>10009135</v>
      </c>
      <c r="I23" s="175">
        <v>13075942</v>
      </c>
      <c r="J23" s="175">
        <v>14412634</v>
      </c>
      <c r="K23" s="175">
        <v>15112421</v>
      </c>
      <c r="L23" s="176">
        <v>16518715</v>
      </c>
      <c r="M23" s="176">
        <v>14064528</v>
      </c>
      <c r="N23" s="175">
        <v>11797205</v>
      </c>
      <c r="O23" s="175">
        <v>12339447</v>
      </c>
      <c r="P23" s="175">
        <v>12450146</v>
      </c>
      <c r="Q23" s="175">
        <v>12501944</v>
      </c>
      <c r="R23" s="175">
        <v>13028984</v>
      </c>
      <c r="S23" s="175">
        <v>12863091</v>
      </c>
      <c r="T23" s="175">
        <v>13880210</v>
      </c>
      <c r="U23" s="175">
        <v>13899025</v>
      </c>
      <c r="V23" s="175">
        <v>15150481</v>
      </c>
      <c r="W23" s="175">
        <v>15950535</v>
      </c>
      <c r="X23" s="175">
        <v>17084114</v>
      </c>
      <c r="Y23" s="175">
        <v>17257176</v>
      </c>
      <c r="Z23" s="175">
        <v>18608515</v>
      </c>
      <c r="AA23" s="175">
        <f>AA14+AA4</f>
        <v>17102795</v>
      </c>
      <c r="AB23" s="175">
        <v>18948548</v>
      </c>
      <c r="AC23" s="175">
        <v>18457520</v>
      </c>
      <c r="AD23" s="175">
        <v>18510300</v>
      </c>
      <c r="AE23" s="175">
        <f>AE14+AE4</f>
        <v>17637822</v>
      </c>
      <c r="AF23" s="175">
        <f>AF14+AF4</f>
        <v>16305424</v>
      </c>
      <c r="AG23" s="175">
        <f>AG14+AG4</f>
        <v>16284081</v>
      </c>
      <c r="AH23" s="175">
        <f>AH14+AH4</f>
        <v>15206245</v>
      </c>
      <c r="AI23" s="175">
        <f>AI14+AI4</f>
        <v>15863407</v>
      </c>
      <c r="AJ23" s="175"/>
      <c r="AK23" s="175">
        <v>8716990</v>
      </c>
      <c r="AL23" s="175">
        <v>13075942</v>
      </c>
      <c r="AM23" s="175">
        <v>14064528</v>
      </c>
      <c r="AN23" s="175">
        <f>Q23</f>
        <v>12501944</v>
      </c>
      <c r="AO23" s="175">
        <f>U23</f>
        <v>13899025</v>
      </c>
      <c r="AP23" s="175">
        <f>Y23</f>
        <v>17257176</v>
      </c>
      <c r="AQ23" s="175">
        <f>AC23</f>
        <v>18457520</v>
      </c>
      <c r="AR23" s="175">
        <f>AG23</f>
        <v>16284081</v>
      </c>
    </row>
    <row r="24" spans="1:44" s="117" customFormat="1" ht="11.25">
      <c r="A24" s="160"/>
      <c r="B24" s="168"/>
      <c r="C24" s="168"/>
      <c r="D24" s="168"/>
      <c r="E24" s="168"/>
      <c r="F24" s="168"/>
      <c r="G24" s="168"/>
      <c r="H24" s="168"/>
      <c r="I24" s="168"/>
      <c r="J24" s="168"/>
      <c r="K24" s="168"/>
      <c r="L24" s="169"/>
      <c r="M24" s="169"/>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row>
    <row r="25" spans="1:44" s="117" customFormat="1" ht="12" thickBot="1">
      <c r="A25" s="7"/>
      <c r="B25" s="30"/>
      <c r="C25" s="30"/>
      <c r="D25" s="30"/>
      <c r="E25" s="30"/>
      <c r="F25" s="30"/>
      <c r="G25" s="30"/>
      <c r="H25" s="30"/>
      <c r="I25" s="30"/>
      <c r="J25" s="30"/>
      <c r="K25" s="30"/>
      <c r="L25" s="23"/>
      <c r="M25" s="23"/>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row>
    <row r="26" spans="1:44" s="135" customFormat="1" ht="12" thickBot="1">
      <c r="A26" s="85" t="s">
        <v>113</v>
      </c>
      <c r="B26" s="175"/>
      <c r="C26" s="175"/>
      <c r="D26" s="175"/>
      <c r="E26" s="175"/>
      <c r="F26" s="175"/>
      <c r="G26" s="175"/>
      <c r="H26" s="175"/>
      <c r="I26" s="175"/>
      <c r="J26" s="175"/>
      <c r="K26" s="175"/>
      <c r="L26" s="176"/>
      <c r="M26" s="176"/>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row>
    <row r="27" spans="1:44" s="88" customFormat="1" ht="11.25">
      <c r="A27" s="161" t="s">
        <v>114</v>
      </c>
      <c r="B27" s="177">
        <v>539864</v>
      </c>
      <c r="C27" s="177">
        <v>892582</v>
      </c>
      <c r="D27" s="177">
        <v>1232463</v>
      </c>
      <c r="E27" s="177">
        <v>993451</v>
      </c>
      <c r="F27" s="177">
        <v>943016</v>
      </c>
      <c r="G27" s="177">
        <v>979897</v>
      </c>
      <c r="H27" s="177">
        <v>991515</v>
      </c>
      <c r="I27" s="177">
        <v>3002190</v>
      </c>
      <c r="J27" s="177">
        <v>3247665</v>
      </c>
      <c r="K27" s="177">
        <v>3516836</v>
      </c>
      <c r="L27" s="178">
        <v>3208070</v>
      </c>
      <c r="M27" s="178">
        <v>2980475</v>
      </c>
      <c r="N27" s="177">
        <v>2278646</v>
      </c>
      <c r="O27" s="177">
        <v>2264246</v>
      </c>
      <c r="P27" s="177">
        <v>1998424</v>
      </c>
      <c r="Q27" s="177">
        <v>1417212</v>
      </c>
      <c r="R27" s="177">
        <v>1533486</v>
      </c>
      <c r="S27" s="177">
        <v>1639930</v>
      </c>
      <c r="T27" s="177">
        <v>1802454</v>
      </c>
      <c r="U27" s="177">
        <v>1651796</v>
      </c>
      <c r="V27" s="177">
        <v>1831104</v>
      </c>
      <c r="W27" s="177">
        <v>2140844</v>
      </c>
      <c r="X27" s="177">
        <v>3162862</v>
      </c>
      <c r="Y27" s="177">
        <v>2939936</v>
      </c>
      <c r="Z27" s="177">
        <v>3576836</v>
      </c>
      <c r="AA27" s="177">
        <f>SUM(AA28:AA30)</f>
        <v>3578890</v>
      </c>
      <c r="AB27" s="177">
        <v>4154752</v>
      </c>
      <c r="AC27" s="177">
        <v>3302074</v>
      </c>
      <c r="AD27" s="177">
        <v>2940494</v>
      </c>
      <c r="AE27" s="177">
        <f>SUM(AE28:AE30)</f>
        <v>2646778</v>
      </c>
      <c r="AF27" s="177">
        <f>SUM(AF28:AF30)</f>
        <v>1759712</v>
      </c>
      <c r="AG27" s="177">
        <f>SUM(AG28:AG30)</f>
        <v>2316548</v>
      </c>
      <c r="AH27" s="177">
        <f>SUM(AH28:AH30)</f>
        <v>2241832</v>
      </c>
      <c r="AI27" s="177">
        <f>SUM(AI28:AI30)</f>
        <v>2306736</v>
      </c>
      <c r="AJ27" s="177"/>
      <c r="AK27" s="177">
        <v>993451</v>
      </c>
      <c r="AL27" s="177">
        <v>3002190</v>
      </c>
      <c r="AM27" s="177">
        <v>2980475</v>
      </c>
      <c r="AN27" s="177">
        <f>Q27</f>
        <v>1417212</v>
      </c>
      <c r="AO27" s="177">
        <f>U27</f>
        <v>1651796</v>
      </c>
      <c r="AP27" s="177">
        <f>Y27</f>
        <v>2939936</v>
      </c>
      <c r="AQ27" s="177">
        <f>AC27</f>
        <v>3302074</v>
      </c>
      <c r="AR27" s="177">
        <f>AG27</f>
        <v>2316548</v>
      </c>
    </row>
    <row r="28" spans="1:44" s="112" customFormat="1" ht="11.25">
      <c r="A28" s="167" t="s">
        <v>115</v>
      </c>
      <c r="B28" s="168">
        <v>510777</v>
      </c>
      <c r="C28" s="168">
        <v>692556</v>
      </c>
      <c r="D28" s="168">
        <v>977703</v>
      </c>
      <c r="E28" s="168">
        <v>664319</v>
      </c>
      <c r="F28" s="168">
        <v>718289</v>
      </c>
      <c r="G28" s="168">
        <v>830490</v>
      </c>
      <c r="H28" s="168">
        <v>859685</v>
      </c>
      <c r="I28" s="168">
        <v>1394934</v>
      </c>
      <c r="J28" s="168">
        <v>1220492</v>
      </c>
      <c r="K28" s="168">
        <v>1757393</v>
      </c>
      <c r="L28" s="169">
        <v>1723855</v>
      </c>
      <c r="M28" s="169">
        <v>1879213</v>
      </c>
      <c r="N28" s="168">
        <v>1162047</v>
      </c>
      <c r="O28" s="168">
        <v>1109279</v>
      </c>
      <c r="P28" s="168">
        <v>997412</v>
      </c>
      <c r="Q28" s="168">
        <v>841230</v>
      </c>
      <c r="R28" s="168">
        <v>962933</v>
      </c>
      <c r="S28" s="168">
        <v>1057660</v>
      </c>
      <c r="T28" s="168">
        <v>1171420</v>
      </c>
      <c r="U28" s="168">
        <v>1107434</v>
      </c>
      <c r="V28" s="168">
        <v>1251969</v>
      </c>
      <c r="W28" s="168">
        <v>1535014</v>
      </c>
      <c r="X28" s="168">
        <v>2098176</v>
      </c>
      <c r="Y28" s="168">
        <v>1622679</v>
      </c>
      <c r="Z28" s="168">
        <v>1783419</v>
      </c>
      <c r="AA28" s="168">
        <v>1581793</v>
      </c>
      <c r="AB28" s="168">
        <v>1712590</v>
      </c>
      <c r="AC28" s="168">
        <v>1462105</v>
      </c>
      <c r="AD28" s="168">
        <v>1411683</v>
      </c>
      <c r="AE28" s="168">
        <v>1608587</v>
      </c>
      <c r="AF28" s="168">
        <v>1103550</v>
      </c>
      <c r="AG28" s="168">
        <v>1175709</v>
      </c>
      <c r="AH28" s="168">
        <v>1067856</v>
      </c>
      <c r="AI28" s="168">
        <v>1124922</v>
      </c>
      <c r="AJ28" s="168"/>
      <c r="AK28" s="168">
        <v>664319</v>
      </c>
      <c r="AL28" s="168">
        <v>1394934</v>
      </c>
      <c r="AM28" s="168">
        <v>1879213</v>
      </c>
      <c r="AN28" s="168">
        <f>Q28</f>
        <v>841230</v>
      </c>
      <c r="AO28" s="168">
        <f>U28</f>
        <v>1107434</v>
      </c>
      <c r="AP28" s="168">
        <f>Y28</f>
        <v>1622679</v>
      </c>
      <c r="AQ28" s="168">
        <f>AC28</f>
        <v>1462105</v>
      </c>
      <c r="AR28" s="168">
        <f>AG28</f>
        <v>1175709</v>
      </c>
    </row>
    <row r="29" spans="1:44" s="88" customFormat="1" ht="12" customHeight="1">
      <c r="A29" s="167" t="s">
        <v>116</v>
      </c>
      <c r="B29" s="168"/>
      <c r="C29" s="168">
        <v>141800</v>
      </c>
      <c r="D29" s="168">
        <v>118663</v>
      </c>
      <c r="E29" s="168">
        <v>248782</v>
      </c>
      <c r="F29" s="168">
        <v>99333</v>
      </c>
      <c r="G29" s="168">
        <v>71841</v>
      </c>
      <c r="H29" s="168">
        <v>51565</v>
      </c>
      <c r="I29" s="168">
        <v>1536570</v>
      </c>
      <c r="J29" s="168">
        <v>1933609</v>
      </c>
      <c r="K29" s="168">
        <v>1607800</v>
      </c>
      <c r="L29" s="169">
        <v>1344975</v>
      </c>
      <c r="M29" s="169">
        <v>1079806</v>
      </c>
      <c r="N29" s="168">
        <v>1090067</v>
      </c>
      <c r="O29" s="168">
        <v>1126035</v>
      </c>
      <c r="P29" s="168">
        <v>957435</v>
      </c>
      <c r="Q29" s="168">
        <v>556563</v>
      </c>
      <c r="R29" s="168">
        <v>544279</v>
      </c>
      <c r="S29" s="168">
        <v>538904</v>
      </c>
      <c r="T29" s="168">
        <v>594709</v>
      </c>
      <c r="U29" s="168">
        <v>525559</v>
      </c>
      <c r="V29" s="168">
        <v>552766</v>
      </c>
      <c r="W29" s="168">
        <v>543755</v>
      </c>
      <c r="X29" s="168">
        <v>1030852</v>
      </c>
      <c r="Y29" s="168">
        <v>1306263</v>
      </c>
      <c r="Z29" s="168">
        <v>1780954</v>
      </c>
      <c r="AA29" s="168">
        <v>1970794</v>
      </c>
      <c r="AB29" s="168">
        <v>2433534</v>
      </c>
      <c r="AC29" s="168">
        <v>1816169</v>
      </c>
      <c r="AD29" s="168">
        <v>1484296</v>
      </c>
      <c r="AE29" s="168">
        <v>993972</v>
      </c>
      <c r="AF29" s="168">
        <v>615677</v>
      </c>
      <c r="AG29" s="168">
        <v>1119286</v>
      </c>
      <c r="AH29" s="168">
        <v>1141305</v>
      </c>
      <c r="AI29" s="168">
        <v>1157068</v>
      </c>
      <c r="AJ29" s="168"/>
      <c r="AK29" s="168">
        <v>248782</v>
      </c>
      <c r="AL29" s="168">
        <v>1536570</v>
      </c>
      <c r="AM29" s="168">
        <v>1079806</v>
      </c>
      <c r="AN29" s="168">
        <f>Q29</f>
        <v>556563</v>
      </c>
      <c r="AO29" s="168">
        <f>U29</f>
        <v>525559</v>
      </c>
      <c r="AP29" s="168">
        <f>Y29</f>
        <v>1306263</v>
      </c>
      <c r="AQ29" s="168">
        <f>AC29</f>
        <v>1816169</v>
      </c>
      <c r="AR29" s="168">
        <f>AG29</f>
        <v>1119286</v>
      </c>
    </row>
    <row r="30" spans="1:44" s="88" customFormat="1" ht="12" customHeight="1">
      <c r="A30" s="170" t="s">
        <v>117</v>
      </c>
      <c r="B30" s="169">
        <v>29087</v>
      </c>
      <c r="C30" s="169">
        <v>58226</v>
      </c>
      <c r="D30" s="169">
        <v>136097</v>
      </c>
      <c r="E30" s="169">
        <v>80350</v>
      </c>
      <c r="F30" s="169">
        <v>84382</v>
      </c>
      <c r="G30" s="169">
        <v>77566</v>
      </c>
      <c r="H30" s="169">
        <v>80265</v>
      </c>
      <c r="I30" s="169">
        <v>70686</v>
      </c>
      <c r="J30" s="169">
        <v>93564</v>
      </c>
      <c r="K30" s="169">
        <v>151643</v>
      </c>
      <c r="L30" s="169">
        <v>139240</v>
      </c>
      <c r="M30" s="169">
        <v>10497</v>
      </c>
      <c r="N30" s="169">
        <v>26532</v>
      </c>
      <c r="O30" s="169">
        <v>28932</v>
      </c>
      <c r="P30" s="169">
        <v>43577</v>
      </c>
      <c r="Q30" s="169">
        <v>19419</v>
      </c>
      <c r="R30" s="169">
        <v>26274</v>
      </c>
      <c r="S30" s="169">
        <v>43366</v>
      </c>
      <c r="T30" s="169">
        <v>36325</v>
      </c>
      <c r="U30" s="169">
        <v>18803</v>
      </c>
      <c r="V30" s="169">
        <v>26369</v>
      </c>
      <c r="W30" s="169">
        <v>62075</v>
      </c>
      <c r="X30" s="169">
        <v>33834</v>
      </c>
      <c r="Y30" s="169">
        <v>10994</v>
      </c>
      <c r="Z30" s="169">
        <v>12463</v>
      </c>
      <c r="AA30" s="169">
        <v>26303</v>
      </c>
      <c r="AB30" s="169">
        <v>8628</v>
      </c>
      <c r="AC30" s="169">
        <v>23800</v>
      </c>
      <c r="AD30" s="169">
        <v>44515</v>
      </c>
      <c r="AE30" s="169">
        <v>44219</v>
      </c>
      <c r="AF30" s="169">
        <v>40485</v>
      </c>
      <c r="AG30" s="169">
        <v>21553</v>
      </c>
      <c r="AH30" s="169">
        <v>32671</v>
      </c>
      <c r="AI30" s="169">
        <v>24746</v>
      </c>
      <c r="AJ30" s="169"/>
      <c r="AK30" s="169">
        <v>80350</v>
      </c>
      <c r="AL30" s="169">
        <v>70686</v>
      </c>
      <c r="AM30" s="169">
        <v>10497</v>
      </c>
      <c r="AN30" s="169">
        <f>Q30</f>
        <v>19419</v>
      </c>
      <c r="AO30" s="169">
        <f>U30</f>
        <v>18803</v>
      </c>
      <c r="AP30" s="169">
        <f>Y30</f>
        <v>10994</v>
      </c>
      <c r="AQ30" s="169">
        <f>AC30</f>
        <v>23800</v>
      </c>
      <c r="AR30" s="169">
        <f>AG30</f>
        <v>21553</v>
      </c>
    </row>
    <row r="31" spans="1:44" s="88" customFormat="1" ht="11.25">
      <c r="A31" s="167" t="s">
        <v>118</v>
      </c>
      <c r="B31" s="168"/>
      <c r="C31" s="168"/>
      <c r="D31" s="168"/>
      <c r="E31" s="168"/>
      <c r="F31" s="168">
        <v>41012</v>
      </c>
      <c r="G31" s="168"/>
      <c r="H31" s="168"/>
      <c r="I31" s="168"/>
      <c r="J31" s="168"/>
      <c r="K31" s="168"/>
      <c r="L31" s="169"/>
      <c r="M31" s="169">
        <v>10959</v>
      </c>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v>10959</v>
      </c>
      <c r="AN31" s="168"/>
      <c r="AO31" s="168"/>
      <c r="AP31" s="168"/>
      <c r="AQ31" s="168"/>
      <c r="AR31" s="168"/>
    </row>
    <row r="32" spans="1:44" s="7" customFormat="1" ht="11.25">
      <c r="A32" s="167"/>
      <c r="B32" s="168"/>
      <c r="C32" s="168"/>
      <c r="D32" s="168"/>
      <c r="E32" s="168"/>
      <c r="F32" s="168"/>
      <c r="G32" s="168"/>
      <c r="H32" s="168"/>
      <c r="I32" s="168"/>
      <c r="J32" s="168"/>
      <c r="K32" s="168"/>
      <c r="L32" s="169"/>
      <c r="M32" s="169"/>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row>
    <row r="33" spans="1:44" s="7" customFormat="1" ht="11.25">
      <c r="A33" s="179" t="s">
        <v>119</v>
      </c>
      <c r="B33" s="180">
        <v>422541</v>
      </c>
      <c r="C33" s="180">
        <v>508217</v>
      </c>
      <c r="D33" s="180">
        <v>605459</v>
      </c>
      <c r="E33" s="180">
        <v>780672</v>
      </c>
      <c r="F33" s="180">
        <v>818923</v>
      </c>
      <c r="G33" s="180">
        <v>596533</v>
      </c>
      <c r="H33" s="180">
        <v>639978</v>
      </c>
      <c r="I33" s="180">
        <v>975408</v>
      </c>
      <c r="J33" s="180">
        <v>1025121</v>
      </c>
      <c r="K33" s="180">
        <v>938759</v>
      </c>
      <c r="L33" s="174">
        <v>2624513</v>
      </c>
      <c r="M33" s="174">
        <v>2360984</v>
      </c>
      <c r="N33" s="180">
        <v>2111011</v>
      </c>
      <c r="O33" s="180">
        <v>2149450</v>
      </c>
      <c r="P33" s="180">
        <v>2058700</v>
      </c>
      <c r="Q33" s="180">
        <v>2474864</v>
      </c>
      <c r="R33" s="180">
        <v>2580623</v>
      </c>
      <c r="S33" s="180">
        <v>2426691</v>
      </c>
      <c r="T33" s="180">
        <v>2635980</v>
      </c>
      <c r="U33" s="180">
        <v>2693415</v>
      </c>
      <c r="V33" s="180">
        <v>2718242</v>
      </c>
      <c r="W33" s="180">
        <v>2539264</v>
      </c>
      <c r="X33" s="180">
        <v>3849420</v>
      </c>
      <c r="Y33" s="180">
        <v>4212079</v>
      </c>
      <c r="Z33" s="180">
        <v>3880491</v>
      </c>
      <c r="AA33" s="180">
        <f>SUM(AA34:AA36)</f>
        <v>3329023</v>
      </c>
      <c r="AB33" s="180">
        <v>3875199</v>
      </c>
      <c r="AC33" s="180">
        <v>4065156</v>
      </c>
      <c r="AD33" s="180">
        <v>4678138</v>
      </c>
      <c r="AE33" s="180">
        <f>SUM(AE34:AE36)</f>
        <v>4695035</v>
      </c>
      <c r="AF33" s="180">
        <f>SUM(AF34:AF36)</f>
        <v>4146694</v>
      </c>
      <c r="AG33" s="180">
        <f>SUM(AG34:AG36)</f>
        <v>3692724</v>
      </c>
      <c r="AH33" s="180">
        <f>SUM(AH34:AH36)</f>
        <v>3361169</v>
      </c>
      <c r="AI33" s="180">
        <f>SUM(AI34:AI36)</f>
        <v>3328552</v>
      </c>
      <c r="AJ33" s="180"/>
      <c r="AK33" s="180">
        <v>780672</v>
      </c>
      <c r="AL33" s="180">
        <v>975408</v>
      </c>
      <c r="AM33" s="180">
        <v>2360984</v>
      </c>
      <c r="AN33" s="180">
        <f>Q33</f>
        <v>2474864</v>
      </c>
      <c r="AO33" s="180">
        <f>U33</f>
        <v>2693415</v>
      </c>
      <c r="AP33" s="180">
        <f>Y33</f>
        <v>4212079</v>
      </c>
      <c r="AQ33" s="180">
        <f>AC33</f>
        <v>4065156</v>
      </c>
      <c r="AR33" s="180">
        <f>AG33</f>
        <v>3692724</v>
      </c>
    </row>
    <row r="34" spans="1:44" s="7" customFormat="1" ht="11.25">
      <c r="A34" s="167" t="s">
        <v>120</v>
      </c>
      <c r="B34" s="168"/>
      <c r="C34" s="168">
        <v>16796</v>
      </c>
      <c r="D34" s="168">
        <v>13665</v>
      </c>
      <c r="E34" s="168">
        <v>48153</v>
      </c>
      <c r="F34" s="168">
        <v>50523</v>
      </c>
      <c r="G34" s="168">
        <v>19226</v>
      </c>
      <c r="H34" s="168">
        <v>19452</v>
      </c>
      <c r="I34" s="168">
        <v>73225</v>
      </c>
      <c r="J34" s="168">
        <v>170148</v>
      </c>
      <c r="K34" s="168">
        <v>77464</v>
      </c>
      <c r="L34" s="169">
        <v>1991941</v>
      </c>
      <c r="M34" s="169">
        <v>1929772</v>
      </c>
      <c r="N34" s="171">
        <v>1709451</v>
      </c>
      <c r="O34" s="171">
        <v>1668359</v>
      </c>
      <c r="P34" s="169">
        <v>1571184</v>
      </c>
      <c r="Q34" s="169">
        <v>1938652</v>
      </c>
      <c r="R34" s="169">
        <v>1991906</v>
      </c>
      <c r="S34" s="169">
        <v>1827689</v>
      </c>
      <c r="T34" s="169">
        <v>2058608</v>
      </c>
      <c r="U34" s="169">
        <v>2098863</v>
      </c>
      <c r="V34" s="169">
        <v>2074115</v>
      </c>
      <c r="W34" s="169">
        <v>2070177</v>
      </c>
      <c r="X34" s="169">
        <v>2790963</v>
      </c>
      <c r="Y34" s="169">
        <v>3073535</v>
      </c>
      <c r="Z34" s="169">
        <v>2693315</v>
      </c>
      <c r="AA34" s="169">
        <v>2372610</v>
      </c>
      <c r="AB34" s="169">
        <v>2850077</v>
      </c>
      <c r="AC34" s="169">
        <v>2815554</v>
      </c>
      <c r="AD34" s="169">
        <v>3459342</v>
      </c>
      <c r="AE34" s="169">
        <v>3791989</v>
      </c>
      <c r="AF34" s="169">
        <v>3507880</v>
      </c>
      <c r="AG34" s="169">
        <v>3038041</v>
      </c>
      <c r="AH34" s="169">
        <v>2743367</v>
      </c>
      <c r="AI34" s="169">
        <v>2676290</v>
      </c>
      <c r="AJ34" s="168"/>
      <c r="AK34" s="168">
        <v>48153</v>
      </c>
      <c r="AL34" s="168">
        <v>73225</v>
      </c>
      <c r="AM34" s="168">
        <v>1929772</v>
      </c>
      <c r="AN34" s="168">
        <f>Q34</f>
        <v>1938652</v>
      </c>
      <c r="AO34" s="168">
        <f>U34</f>
        <v>2098863</v>
      </c>
      <c r="AP34" s="168">
        <f>Y34</f>
        <v>3073535</v>
      </c>
      <c r="AQ34" s="168">
        <f>AC34</f>
        <v>2815554</v>
      </c>
      <c r="AR34" s="168">
        <f>AG34</f>
        <v>3038041</v>
      </c>
    </row>
    <row r="35" spans="1:44" s="7" customFormat="1" ht="11.25">
      <c r="A35" s="170" t="s">
        <v>121</v>
      </c>
      <c r="B35" s="169">
        <v>311969</v>
      </c>
      <c r="C35" s="169">
        <v>421755</v>
      </c>
      <c r="D35" s="169">
        <v>536765</v>
      </c>
      <c r="E35" s="169">
        <v>537647</v>
      </c>
      <c r="F35" s="169">
        <v>552396</v>
      </c>
      <c r="G35" s="169">
        <v>563659</v>
      </c>
      <c r="H35" s="169">
        <v>592817</v>
      </c>
      <c r="I35" s="169">
        <v>585567</v>
      </c>
      <c r="J35" s="169">
        <v>538457</v>
      </c>
      <c r="K35" s="169">
        <v>551728</v>
      </c>
      <c r="L35" s="169">
        <v>509234</v>
      </c>
      <c r="M35" s="169">
        <v>296875</v>
      </c>
      <c r="N35" s="171">
        <v>288402</v>
      </c>
      <c r="O35" s="171">
        <v>358410</v>
      </c>
      <c r="P35" s="168">
        <v>371289</v>
      </c>
      <c r="Q35" s="168">
        <v>396306</v>
      </c>
      <c r="R35" s="168">
        <v>408873</v>
      </c>
      <c r="S35" s="168">
        <v>391840</v>
      </c>
      <c r="T35" s="168">
        <v>383633</v>
      </c>
      <c r="U35" s="168">
        <v>400601</v>
      </c>
      <c r="V35" s="168">
        <v>449800</v>
      </c>
      <c r="W35" s="168">
        <v>454778</v>
      </c>
      <c r="X35" s="168">
        <v>705250</v>
      </c>
      <c r="Y35" s="168">
        <v>713666</v>
      </c>
      <c r="Z35" s="168">
        <v>762420</v>
      </c>
      <c r="AA35" s="168">
        <v>690112</v>
      </c>
      <c r="AB35" s="168">
        <v>752242</v>
      </c>
      <c r="AC35" s="168">
        <v>792240</v>
      </c>
      <c r="AD35" s="168">
        <v>765283</v>
      </c>
      <c r="AE35" s="168">
        <v>745609</v>
      </c>
      <c r="AF35" s="168">
        <v>578066</v>
      </c>
      <c r="AG35" s="168">
        <v>599250</v>
      </c>
      <c r="AH35" s="168">
        <v>565694</v>
      </c>
      <c r="AI35" s="168">
        <v>601672</v>
      </c>
      <c r="AK35" s="169">
        <v>537647</v>
      </c>
      <c r="AL35" s="169">
        <v>585567</v>
      </c>
      <c r="AM35" s="169">
        <v>296875</v>
      </c>
      <c r="AN35" s="169">
        <f>Q35</f>
        <v>396306</v>
      </c>
      <c r="AO35" s="169">
        <f>U35</f>
        <v>400601</v>
      </c>
      <c r="AP35" s="169">
        <f>Y35</f>
        <v>713666</v>
      </c>
      <c r="AQ35" s="169">
        <f>AC35</f>
        <v>792240</v>
      </c>
      <c r="AR35" s="169">
        <f>AG35</f>
        <v>599250</v>
      </c>
    </row>
    <row r="36" spans="1:44" s="7" customFormat="1" ht="11.25">
      <c r="A36" s="170" t="s">
        <v>122</v>
      </c>
      <c r="B36" s="169">
        <v>110572</v>
      </c>
      <c r="C36" s="169">
        <v>69666</v>
      </c>
      <c r="D36" s="169">
        <v>55029</v>
      </c>
      <c r="E36" s="169">
        <v>194872</v>
      </c>
      <c r="F36" s="169">
        <v>40609</v>
      </c>
      <c r="G36" s="169">
        <v>13648</v>
      </c>
      <c r="H36" s="169">
        <v>27709</v>
      </c>
      <c r="I36" s="169">
        <v>316616</v>
      </c>
      <c r="J36" s="169">
        <v>316516</v>
      </c>
      <c r="K36" s="169">
        <v>309567</v>
      </c>
      <c r="L36" s="169">
        <v>123338</v>
      </c>
      <c r="M36" s="169">
        <v>128944</v>
      </c>
      <c r="N36" s="171">
        <v>113158</v>
      </c>
      <c r="O36" s="171">
        <v>122681</v>
      </c>
      <c r="P36" s="169">
        <v>116227</v>
      </c>
      <c r="Q36" s="169">
        <v>139906</v>
      </c>
      <c r="R36" s="169">
        <v>179844</v>
      </c>
      <c r="S36" s="169">
        <v>207162</v>
      </c>
      <c r="T36" s="169">
        <v>193739</v>
      </c>
      <c r="U36" s="169">
        <v>193951</v>
      </c>
      <c r="V36" s="169">
        <v>194327</v>
      </c>
      <c r="W36" s="169">
        <v>14309</v>
      </c>
      <c r="X36" s="169">
        <v>353207</v>
      </c>
      <c r="Y36" s="169">
        <v>424878</v>
      </c>
      <c r="Z36" s="169">
        <v>424756</v>
      </c>
      <c r="AA36" s="169">
        <v>266301</v>
      </c>
      <c r="AB36" s="169">
        <v>272880</v>
      </c>
      <c r="AC36" s="169">
        <v>457362</v>
      </c>
      <c r="AD36" s="169">
        <v>453513</v>
      </c>
      <c r="AE36" s="169">
        <v>157437</v>
      </c>
      <c r="AF36" s="169">
        <v>60748</v>
      </c>
      <c r="AG36" s="169">
        <v>55433</v>
      </c>
      <c r="AH36" s="169">
        <v>52108</v>
      </c>
      <c r="AI36" s="169">
        <v>50590</v>
      </c>
      <c r="AJ36" s="169"/>
      <c r="AK36" s="169">
        <v>194872</v>
      </c>
      <c r="AL36" s="169">
        <v>316616</v>
      </c>
      <c r="AM36" s="169">
        <v>128944</v>
      </c>
      <c r="AN36" s="169">
        <f>Q36</f>
        <v>139906</v>
      </c>
      <c r="AO36" s="169">
        <f>U36</f>
        <v>193951</v>
      </c>
      <c r="AP36" s="169">
        <f>Y36</f>
        <v>424878</v>
      </c>
      <c r="AQ36" s="169">
        <f>AC36</f>
        <v>457362</v>
      </c>
      <c r="AR36" s="169">
        <f>AG36</f>
        <v>55433</v>
      </c>
    </row>
    <row r="37" spans="1:44" s="88" customFormat="1" ht="11.25">
      <c r="A37" s="167" t="s">
        <v>123</v>
      </c>
      <c r="B37" s="168"/>
      <c r="C37" s="168"/>
      <c r="D37" s="168"/>
      <c r="E37" s="168"/>
      <c r="F37" s="168">
        <v>175395</v>
      </c>
      <c r="G37" s="168"/>
      <c r="H37" s="168"/>
      <c r="I37" s="168"/>
      <c r="J37" s="168"/>
      <c r="K37" s="168"/>
      <c r="L37" s="169"/>
      <c r="M37" s="169">
        <v>5393</v>
      </c>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v>5393</v>
      </c>
      <c r="AN37" s="168"/>
      <c r="AO37" s="168"/>
      <c r="AP37" s="168"/>
      <c r="AQ37" s="168"/>
      <c r="AR37" s="168"/>
    </row>
    <row r="38" spans="1:44" s="88" customFormat="1" ht="11.25">
      <c r="A38" s="160"/>
      <c r="B38" s="168"/>
      <c r="C38" s="168"/>
      <c r="D38" s="168"/>
      <c r="E38" s="168"/>
      <c r="F38" s="168"/>
      <c r="G38" s="168"/>
      <c r="H38" s="168"/>
      <c r="I38" s="168"/>
      <c r="J38" s="168"/>
      <c r="K38" s="168"/>
      <c r="L38" s="169"/>
      <c r="M38" s="169"/>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row>
    <row r="39" spans="1:44" s="88" customFormat="1" ht="11.25">
      <c r="A39" s="181" t="s">
        <v>124</v>
      </c>
      <c r="B39" s="182">
        <v>962405</v>
      </c>
      <c r="C39" s="182">
        <v>1400799</v>
      </c>
      <c r="D39" s="182">
        <v>1837922</v>
      </c>
      <c r="E39" s="182">
        <v>1774123</v>
      </c>
      <c r="F39" s="182">
        <v>1761939</v>
      </c>
      <c r="G39" s="182">
        <v>1576430</v>
      </c>
      <c r="H39" s="182">
        <v>1631493</v>
      </c>
      <c r="I39" s="182">
        <v>3977598</v>
      </c>
      <c r="J39" s="182">
        <v>4272786</v>
      </c>
      <c r="K39" s="182">
        <v>4455595</v>
      </c>
      <c r="L39" s="183">
        <v>5832583</v>
      </c>
      <c r="M39" s="183">
        <v>5341459</v>
      </c>
      <c r="N39" s="182">
        <v>4389657</v>
      </c>
      <c r="O39" s="182">
        <v>4413696</v>
      </c>
      <c r="P39" s="182">
        <v>4057124</v>
      </c>
      <c r="Q39" s="182">
        <v>3892076</v>
      </c>
      <c r="R39" s="182">
        <v>4114109</v>
      </c>
      <c r="S39" s="182">
        <v>4066621</v>
      </c>
      <c r="T39" s="182">
        <v>4438434</v>
      </c>
      <c r="U39" s="182">
        <v>4345211</v>
      </c>
      <c r="V39" s="182">
        <v>4549346</v>
      </c>
      <c r="W39" s="182">
        <v>4680108</v>
      </c>
      <c r="X39" s="182">
        <v>7012282</v>
      </c>
      <c r="Y39" s="182">
        <v>7152015</v>
      </c>
      <c r="Z39" s="182">
        <v>7457327</v>
      </c>
      <c r="AA39" s="182">
        <f>AA27+AA33</f>
        <v>6907913</v>
      </c>
      <c r="AB39" s="182">
        <v>8029951</v>
      </c>
      <c r="AC39" s="182">
        <v>7367230</v>
      </c>
      <c r="AD39" s="182">
        <v>7618632</v>
      </c>
      <c r="AE39" s="182">
        <f>AE33+AE27</f>
        <v>7341813</v>
      </c>
      <c r="AF39" s="182">
        <f>AF33+AF27</f>
        <v>5906406</v>
      </c>
      <c r="AG39" s="182">
        <f>AG33+AG27</f>
        <v>6009272</v>
      </c>
      <c r="AH39" s="182">
        <f>AH33+AH27</f>
        <v>5603001</v>
      </c>
      <c r="AI39" s="182">
        <f>AI33+AI27</f>
        <v>5635288</v>
      </c>
      <c r="AJ39" s="182"/>
      <c r="AK39" s="182">
        <v>1774123</v>
      </c>
      <c r="AL39" s="182">
        <v>3977598</v>
      </c>
      <c r="AM39" s="182">
        <v>5341459</v>
      </c>
      <c r="AN39" s="182">
        <f>Q39</f>
        <v>3892076</v>
      </c>
      <c r="AO39" s="182">
        <f>U39</f>
        <v>4345211</v>
      </c>
      <c r="AP39" s="182">
        <f>Y39</f>
        <v>7152015</v>
      </c>
      <c r="AQ39" s="182">
        <f>AC39</f>
        <v>7367230</v>
      </c>
      <c r="AR39" s="182">
        <f>AG39</f>
        <v>6009272</v>
      </c>
    </row>
    <row r="40" spans="1:44" s="88" customFormat="1" ht="11.25">
      <c r="A40" s="160"/>
      <c r="B40" s="168"/>
      <c r="C40" s="168"/>
      <c r="D40" s="168"/>
      <c r="E40" s="168"/>
      <c r="F40" s="168"/>
      <c r="G40" s="168"/>
      <c r="H40" s="168"/>
      <c r="I40" s="168"/>
      <c r="J40" s="168"/>
      <c r="K40" s="168"/>
      <c r="L40" s="169"/>
      <c r="M40" s="169"/>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row>
    <row r="41" spans="1:44" s="88" customFormat="1" ht="11.25">
      <c r="A41" s="184" t="s">
        <v>7</v>
      </c>
      <c r="B41" s="183">
        <v>113111</v>
      </c>
      <c r="C41" s="183">
        <v>125764</v>
      </c>
      <c r="D41" s="183">
        <v>128942</v>
      </c>
      <c r="E41" s="183">
        <v>133425</v>
      </c>
      <c r="F41" s="183">
        <v>136264</v>
      </c>
      <c r="G41" s="183">
        <v>108921</v>
      </c>
      <c r="H41" s="183">
        <v>119236</v>
      </c>
      <c r="I41" s="183">
        <v>106813</v>
      </c>
      <c r="J41" s="183">
        <v>94094</v>
      </c>
      <c r="K41" s="183">
        <v>52706</v>
      </c>
      <c r="L41" s="183">
        <v>140262</v>
      </c>
      <c r="M41" s="183">
        <v>33100</v>
      </c>
      <c r="N41" s="183">
        <v>-64412</v>
      </c>
      <c r="O41" s="183">
        <v>-70908</v>
      </c>
      <c r="P41" s="183">
        <v>-89498</v>
      </c>
      <c r="Q41" s="183">
        <v>-108334</v>
      </c>
      <c r="R41" s="183">
        <v>-135617</v>
      </c>
      <c r="S41" s="183">
        <v>-118133</v>
      </c>
      <c r="T41" s="183">
        <v>-114591</v>
      </c>
      <c r="U41" s="183">
        <v>-120691</v>
      </c>
      <c r="V41" s="183">
        <v>-141201</v>
      </c>
      <c r="W41" s="183">
        <v>-143717</v>
      </c>
      <c r="X41" s="183">
        <v>-20572</v>
      </c>
      <c r="Y41" s="183">
        <v>-41863</v>
      </c>
      <c r="Z41" s="183">
        <v>-45229</v>
      </c>
      <c r="AA41" s="183">
        <v>-42373</v>
      </c>
      <c r="AB41" s="183">
        <v>-45389</v>
      </c>
      <c r="AC41" s="183">
        <v>-32874</v>
      </c>
      <c r="AD41" s="183">
        <v>6792</v>
      </c>
      <c r="AE41" s="183">
        <v>5776</v>
      </c>
      <c r="AF41" s="183">
        <v>6846</v>
      </c>
      <c r="AG41" s="183">
        <v>28057</v>
      </c>
      <c r="AH41" s="183">
        <v>24740</v>
      </c>
      <c r="AI41" s="183">
        <v>26379</v>
      </c>
      <c r="AJ41" s="183"/>
      <c r="AK41" s="183">
        <v>133425</v>
      </c>
      <c r="AL41" s="183">
        <v>106813</v>
      </c>
      <c r="AM41" s="183">
        <v>33100</v>
      </c>
      <c r="AN41" s="183">
        <f aca="true" t="shared" si="10" ref="AN41:AN46">Q41</f>
        <v>-108334</v>
      </c>
      <c r="AO41" s="183">
        <f aca="true" t="shared" si="11" ref="AO41:AO46">U41</f>
        <v>-120691</v>
      </c>
      <c r="AP41" s="183">
        <f aca="true" t="shared" si="12" ref="AP41:AP46">Y41</f>
        <v>-41863</v>
      </c>
      <c r="AQ41" s="183">
        <f aca="true" t="shared" si="13" ref="AQ41:AQ49">AC41</f>
        <v>-32874</v>
      </c>
      <c r="AR41" s="183">
        <f aca="true" t="shared" si="14" ref="AR41:AR49">AG41</f>
        <v>28057</v>
      </c>
    </row>
    <row r="42" spans="1:44" s="88" customFormat="1" ht="11.25">
      <c r="A42" s="179" t="s">
        <v>125</v>
      </c>
      <c r="B42" s="180">
        <v>5749523</v>
      </c>
      <c r="C42" s="180">
        <v>5847604</v>
      </c>
      <c r="D42" s="180">
        <v>6323229</v>
      </c>
      <c r="E42" s="180">
        <v>6809442</v>
      </c>
      <c r="F42" s="180">
        <v>7406344</v>
      </c>
      <c r="G42" s="180">
        <v>7726165</v>
      </c>
      <c r="H42" s="180">
        <v>8258406</v>
      </c>
      <c r="I42" s="180">
        <v>8991531</v>
      </c>
      <c r="J42" s="180">
        <v>10045754</v>
      </c>
      <c r="K42" s="180">
        <v>10604120</v>
      </c>
      <c r="L42" s="174">
        <v>10545870</v>
      </c>
      <c r="M42" s="174">
        <v>8689969</v>
      </c>
      <c r="N42" s="180">
        <v>7471960</v>
      </c>
      <c r="O42" s="180">
        <v>7996659</v>
      </c>
      <c r="P42" s="180">
        <v>8482520</v>
      </c>
      <c r="Q42" s="180">
        <v>8718202</v>
      </c>
      <c r="R42" s="180">
        <v>9050492</v>
      </c>
      <c r="S42" s="180">
        <v>8914603</v>
      </c>
      <c r="T42" s="180">
        <v>9556367</v>
      </c>
      <c r="U42" s="180">
        <v>9674505</v>
      </c>
      <c r="V42" s="180">
        <v>10742336</v>
      </c>
      <c r="W42" s="180">
        <v>11414144</v>
      </c>
      <c r="X42" s="180">
        <v>10092404</v>
      </c>
      <c r="Y42" s="180">
        <v>10147024</v>
      </c>
      <c r="Z42" s="180">
        <v>11196417</v>
      </c>
      <c r="AA42" s="180">
        <f>SUM(AA43:AA47)</f>
        <v>10237255</v>
      </c>
      <c r="AB42" s="180">
        <v>10963986</v>
      </c>
      <c r="AC42" s="180">
        <v>11123164</v>
      </c>
      <c r="AD42" s="180">
        <v>10884876</v>
      </c>
      <c r="AE42" s="180">
        <f>SUM(AE43:AE47)</f>
        <v>10290233</v>
      </c>
      <c r="AF42" s="180">
        <f>SUM(AF43:AF47)</f>
        <v>10392172</v>
      </c>
      <c r="AG42" s="180">
        <f>SUM(AG43:AG47)</f>
        <v>10246752</v>
      </c>
      <c r="AH42" s="180">
        <f>SUM(AH43:AH47)</f>
        <v>9578504</v>
      </c>
      <c r="AI42" s="180">
        <f>SUM(AI43:AI47)</f>
        <v>10201740</v>
      </c>
      <c r="AJ42" s="180"/>
      <c r="AK42" s="180">
        <v>6809442</v>
      </c>
      <c r="AL42" s="180">
        <v>8991531</v>
      </c>
      <c r="AM42" s="180">
        <v>8689969</v>
      </c>
      <c r="AN42" s="180">
        <f t="shared" si="10"/>
        <v>8718202</v>
      </c>
      <c r="AO42" s="180">
        <f t="shared" si="11"/>
        <v>9674505</v>
      </c>
      <c r="AP42" s="180">
        <f t="shared" si="12"/>
        <v>10147024</v>
      </c>
      <c r="AQ42" s="180">
        <f t="shared" si="13"/>
        <v>11123164</v>
      </c>
      <c r="AR42" s="180">
        <f t="shared" si="14"/>
        <v>10246752</v>
      </c>
    </row>
    <row r="43" spans="1:44" s="88" customFormat="1" ht="11.25">
      <c r="A43" s="170" t="s">
        <v>126</v>
      </c>
      <c r="B43" s="169">
        <v>221173</v>
      </c>
      <c r="C43" s="169">
        <v>221173</v>
      </c>
      <c r="D43" s="169">
        <v>221173</v>
      </c>
      <c r="E43" s="169">
        <v>221173</v>
      </c>
      <c r="F43" s="169">
        <v>221173</v>
      </c>
      <c r="G43" s="169">
        <v>221173</v>
      </c>
      <c r="H43" s="169">
        <v>221173</v>
      </c>
      <c r="I43" s="169">
        <v>221173</v>
      </c>
      <c r="J43" s="169">
        <v>221173</v>
      </c>
      <c r="K43" s="169">
        <v>221173</v>
      </c>
      <c r="L43" s="169">
        <v>221173</v>
      </c>
      <c r="M43" s="169">
        <v>221173</v>
      </c>
      <c r="N43" s="169">
        <v>221173</v>
      </c>
      <c r="O43" s="169">
        <v>221173</v>
      </c>
      <c r="P43" s="169">
        <v>221173</v>
      </c>
      <c r="Q43" s="169">
        <v>221173</v>
      </c>
      <c r="R43" s="169">
        <v>221173</v>
      </c>
      <c r="S43" s="169">
        <v>221173</v>
      </c>
      <c r="T43" s="169">
        <v>221173</v>
      </c>
      <c r="U43" s="169">
        <v>221173</v>
      </c>
      <c r="V43" s="169">
        <v>221173</v>
      </c>
      <c r="W43" s="169">
        <v>221173</v>
      </c>
      <c r="X43" s="169">
        <v>221173</v>
      </c>
      <c r="Y43" s="169">
        <v>221173</v>
      </c>
      <c r="Z43" s="169">
        <v>221173</v>
      </c>
      <c r="AA43" s="169">
        <v>221173</v>
      </c>
      <c r="AB43" s="169">
        <v>221173</v>
      </c>
      <c r="AC43" s="169">
        <v>221173</v>
      </c>
      <c r="AD43" s="169">
        <v>221173</v>
      </c>
      <c r="AE43" s="169">
        <v>221173</v>
      </c>
      <c r="AF43" s="169">
        <v>221173</v>
      </c>
      <c r="AG43" s="169">
        <v>221173</v>
      </c>
      <c r="AH43" s="169">
        <v>221173</v>
      </c>
      <c r="AI43" s="169">
        <v>221173</v>
      </c>
      <c r="AJ43" s="169"/>
      <c r="AK43" s="169">
        <v>221173</v>
      </c>
      <c r="AL43" s="169">
        <v>221173</v>
      </c>
      <c r="AM43" s="169">
        <v>221173</v>
      </c>
      <c r="AN43" s="169">
        <f t="shared" si="10"/>
        <v>221173</v>
      </c>
      <c r="AO43" s="169">
        <f t="shared" si="11"/>
        <v>221173</v>
      </c>
      <c r="AP43" s="169">
        <f t="shared" si="12"/>
        <v>221173</v>
      </c>
      <c r="AQ43" s="169">
        <f t="shared" si="13"/>
        <v>221173</v>
      </c>
      <c r="AR43" s="169">
        <f t="shared" si="14"/>
        <v>221173</v>
      </c>
    </row>
    <row r="44" spans="1:44" s="88" customFormat="1" ht="11.25">
      <c r="A44" s="170" t="s">
        <v>127</v>
      </c>
      <c r="B44" s="169">
        <v>10267</v>
      </c>
      <c r="C44" s="169">
        <v>10267</v>
      </c>
      <c r="D44" s="169">
        <v>10267</v>
      </c>
      <c r="E44" s="169">
        <v>10267</v>
      </c>
      <c r="F44" s="169">
        <v>10267</v>
      </c>
      <c r="G44" s="169">
        <v>10267</v>
      </c>
      <c r="H44" s="169">
        <v>10267</v>
      </c>
      <c r="I44" s="169">
        <v>10267</v>
      </c>
      <c r="J44" s="169">
        <v>10267</v>
      </c>
      <c r="K44" s="169">
        <v>10267</v>
      </c>
      <c r="L44" s="169">
        <v>10267</v>
      </c>
      <c r="M44" s="169">
        <v>10267</v>
      </c>
      <c r="N44" s="169">
        <v>10267</v>
      </c>
      <c r="O44" s="169">
        <v>10267</v>
      </c>
      <c r="P44" s="169">
        <v>10267</v>
      </c>
      <c r="Q44" s="169">
        <v>10267</v>
      </c>
      <c r="R44" s="169">
        <v>10267</v>
      </c>
      <c r="S44" s="169">
        <v>10267</v>
      </c>
      <c r="T44" s="169">
        <v>10267</v>
      </c>
      <c r="U44" s="169">
        <v>10267</v>
      </c>
      <c r="V44" s="169">
        <v>10267</v>
      </c>
      <c r="W44" s="169">
        <v>10267</v>
      </c>
      <c r="X44" s="169">
        <v>10267</v>
      </c>
      <c r="Y44" s="169">
        <v>10267</v>
      </c>
      <c r="Z44" s="169">
        <v>10267</v>
      </c>
      <c r="AA44" s="169">
        <v>10267</v>
      </c>
      <c r="AB44" s="169">
        <v>10267</v>
      </c>
      <c r="AC44" s="169">
        <v>10267</v>
      </c>
      <c r="AD44" s="169">
        <v>10267</v>
      </c>
      <c r="AE44" s="169">
        <v>10267</v>
      </c>
      <c r="AF44" s="169">
        <v>10267</v>
      </c>
      <c r="AG44" s="169">
        <v>10267</v>
      </c>
      <c r="AH44" s="169">
        <v>10267</v>
      </c>
      <c r="AI44" s="169">
        <v>10267</v>
      </c>
      <c r="AJ44" s="169"/>
      <c r="AK44" s="169">
        <v>10267</v>
      </c>
      <c r="AL44" s="169">
        <v>10267</v>
      </c>
      <c r="AM44" s="169">
        <v>10267</v>
      </c>
      <c r="AN44" s="169">
        <f t="shared" si="10"/>
        <v>10267</v>
      </c>
      <c r="AO44" s="169">
        <f t="shared" si="11"/>
        <v>10267</v>
      </c>
      <c r="AP44" s="169">
        <f t="shared" si="12"/>
        <v>10267</v>
      </c>
      <c r="AQ44" s="169">
        <f t="shared" si="13"/>
        <v>10267</v>
      </c>
      <c r="AR44" s="169">
        <f t="shared" si="14"/>
        <v>10267</v>
      </c>
    </row>
    <row r="45" spans="1:44" s="88" customFormat="1" ht="11.25">
      <c r="A45" s="170" t="s">
        <v>128</v>
      </c>
      <c r="B45" s="169">
        <v>1812</v>
      </c>
      <c r="C45" s="169">
        <v>1812</v>
      </c>
      <c r="D45" s="169">
        <v>1812</v>
      </c>
      <c r="E45" s="169">
        <v>1812</v>
      </c>
      <c r="F45" s="169">
        <v>52395</v>
      </c>
      <c r="G45" s="169">
        <v>52395</v>
      </c>
      <c r="H45" s="169">
        <v>52395</v>
      </c>
      <c r="I45" s="169">
        <v>52395</v>
      </c>
      <c r="J45" s="169">
        <v>52395</v>
      </c>
      <c r="K45" s="169">
        <v>52395</v>
      </c>
      <c r="L45" s="169">
        <v>52395</v>
      </c>
      <c r="M45" s="169">
        <v>52395</v>
      </c>
      <c r="N45" s="169">
        <v>137740</v>
      </c>
      <c r="O45" s="169">
        <v>117896</v>
      </c>
      <c r="P45" s="169">
        <v>112450</v>
      </c>
      <c r="Q45" s="169">
        <v>112450</v>
      </c>
      <c r="R45" s="169">
        <v>112450</v>
      </c>
      <c r="S45" s="169">
        <v>98752</v>
      </c>
      <c r="T45" s="169">
        <v>98752</v>
      </c>
      <c r="U45" s="169">
        <v>98752</v>
      </c>
      <c r="V45" s="169">
        <v>98752</v>
      </c>
      <c r="W45" s="169">
        <v>306391</v>
      </c>
      <c r="X45" s="169">
        <v>306391</v>
      </c>
      <c r="Y45" s="169">
        <v>306391</v>
      </c>
      <c r="Z45" s="169">
        <v>306391</v>
      </c>
      <c r="AA45" s="169">
        <v>306391</v>
      </c>
      <c r="AB45" s="169">
        <v>306391</v>
      </c>
      <c r="AC45" s="169">
        <v>306391</v>
      </c>
      <c r="AD45" s="169">
        <v>256922</v>
      </c>
      <c r="AE45" s="169">
        <v>256922</v>
      </c>
      <c r="AF45" s="169">
        <v>256922</v>
      </c>
      <c r="AG45" s="169">
        <v>256922</v>
      </c>
      <c r="AH45" s="169">
        <v>256922</v>
      </c>
      <c r="AI45" s="169">
        <v>256922</v>
      </c>
      <c r="AJ45" s="169"/>
      <c r="AK45" s="169">
        <v>1812</v>
      </c>
      <c r="AL45" s="169">
        <v>52395</v>
      </c>
      <c r="AM45" s="169">
        <v>52395</v>
      </c>
      <c r="AN45" s="169">
        <f t="shared" si="10"/>
        <v>112450</v>
      </c>
      <c r="AO45" s="169">
        <f t="shared" si="11"/>
        <v>98752</v>
      </c>
      <c r="AP45" s="169">
        <f t="shared" si="12"/>
        <v>306391</v>
      </c>
      <c r="AQ45" s="169">
        <f t="shared" si="13"/>
        <v>306391</v>
      </c>
      <c r="AR45" s="169">
        <f t="shared" si="14"/>
        <v>256922</v>
      </c>
    </row>
    <row r="46" spans="1:44" s="88" customFormat="1" ht="11.25">
      <c r="A46" s="170" t="s">
        <v>129</v>
      </c>
      <c r="B46" s="169">
        <v>265274</v>
      </c>
      <c r="C46" s="169">
        <v>414254</v>
      </c>
      <c r="D46" s="169">
        <v>485017</v>
      </c>
      <c r="E46" s="169">
        <v>589986</v>
      </c>
      <c r="F46" s="169">
        <v>679688</v>
      </c>
      <c r="G46" s="169">
        <v>738341</v>
      </c>
      <c r="H46" s="169">
        <v>1038272</v>
      </c>
      <c r="I46" s="169">
        <v>1181546</v>
      </c>
      <c r="J46" s="169">
        <v>1618045</v>
      </c>
      <c r="K46" s="169">
        <v>1640859</v>
      </c>
      <c r="L46" s="169">
        <v>825394</v>
      </c>
      <c r="M46" s="169">
        <v>-549879</v>
      </c>
      <c r="N46" s="169">
        <v>-1659412</v>
      </c>
      <c r="O46" s="169">
        <v>-1065769</v>
      </c>
      <c r="P46" s="169">
        <v>-738260</v>
      </c>
      <c r="Q46" s="169">
        <v>-796756</v>
      </c>
      <c r="R46" s="169">
        <v>-596017</v>
      </c>
      <c r="S46" s="169">
        <v>-1134043</v>
      </c>
      <c r="T46" s="169">
        <v>-886492</v>
      </c>
      <c r="U46" s="169">
        <v>-916901</v>
      </c>
      <c r="V46" s="169">
        <v>-241445</v>
      </c>
      <c r="W46" s="169">
        <v>-107837</v>
      </c>
      <c r="X46" s="169">
        <v>-1390631</v>
      </c>
      <c r="Y46" s="169">
        <v>-1489442</v>
      </c>
      <c r="Z46" s="169">
        <v>-612952</v>
      </c>
      <c r="AA46" s="169">
        <v>-1737722</v>
      </c>
      <c r="AB46" s="169">
        <v>-1177829</v>
      </c>
      <c r="AC46" s="169">
        <v>-997035</v>
      </c>
      <c r="AD46" s="169">
        <v>-1223752</v>
      </c>
      <c r="AE46" s="169">
        <v>-1736476</v>
      </c>
      <c r="AF46" s="169">
        <v>-1772212</v>
      </c>
      <c r="AG46" s="169">
        <v>-1897100</v>
      </c>
      <c r="AH46" s="169">
        <v>-2739233</v>
      </c>
      <c r="AI46" s="169">
        <v>-2159360</v>
      </c>
      <c r="AJ46" s="169"/>
      <c r="AK46" s="169">
        <v>589986</v>
      </c>
      <c r="AL46" s="169">
        <v>1181546</v>
      </c>
      <c r="AM46" s="169">
        <v>-549879</v>
      </c>
      <c r="AN46" s="169">
        <f t="shared" si="10"/>
        <v>-796756</v>
      </c>
      <c r="AO46" s="169">
        <f t="shared" si="11"/>
        <v>-916901</v>
      </c>
      <c r="AP46" s="169">
        <f t="shared" si="12"/>
        <v>-1489442</v>
      </c>
      <c r="AQ46" s="169">
        <f t="shared" si="13"/>
        <v>-997035</v>
      </c>
      <c r="AR46" s="169">
        <f t="shared" si="14"/>
        <v>-1897100</v>
      </c>
    </row>
    <row r="47" spans="1:44" s="88" customFormat="1" ht="11.25">
      <c r="A47" s="167" t="s">
        <v>130</v>
      </c>
      <c r="B47" s="168">
        <v>5250997</v>
      </c>
      <c r="C47" s="168">
        <v>5200098</v>
      </c>
      <c r="D47" s="168">
        <v>5604960</v>
      </c>
      <c r="E47" s="168">
        <v>5986204</v>
      </c>
      <c r="F47" s="168">
        <v>6442821</v>
      </c>
      <c r="G47" s="168">
        <v>6703989</v>
      </c>
      <c r="H47" s="168">
        <v>6936299</v>
      </c>
      <c r="I47" s="168">
        <v>7526150</v>
      </c>
      <c r="J47" s="168">
        <v>8143874</v>
      </c>
      <c r="K47" s="168">
        <v>8679426</v>
      </c>
      <c r="L47" s="169">
        <v>9436641</v>
      </c>
      <c r="M47" s="169">
        <v>8956013</v>
      </c>
      <c r="N47" s="168">
        <v>8762192</v>
      </c>
      <c r="O47" s="168">
        <v>8713092</v>
      </c>
      <c r="P47" s="168">
        <v>8876890</v>
      </c>
      <c r="Q47" s="168">
        <v>9171068</v>
      </c>
      <c r="R47" s="168">
        <v>9302619</v>
      </c>
      <c r="S47" s="168">
        <v>9718454</v>
      </c>
      <c r="T47" s="168">
        <v>10112667</v>
      </c>
      <c r="U47" s="168">
        <v>10261214</v>
      </c>
      <c r="V47" s="168">
        <v>10653589</v>
      </c>
      <c r="W47" s="168">
        <v>10984150</v>
      </c>
      <c r="X47" s="168">
        <v>10945204</v>
      </c>
      <c r="Y47" s="168">
        <v>11098635</v>
      </c>
      <c r="Z47" s="168">
        <v>11271538</v>
      </c>
      <c r="AA47" s="168">
        <v>11437146</v>
      </c>
      <c r="AB47" s="168">
        <v>11603984</v>
      </c>
      <c r="AC47" s="168">
        <v>11582368</v>
      </c>
      <c r="AD47" s="168">
        <v>11620266</v>
      </c>
      <c r="AE47" s="168">
        <v>11538347</v>
      </c>
      <c r="AF47" s="168">
        <v>11676022</v>
      </c>
      <c r="AG47" s="168">
        <v>11655490</v>
      </c>
      <c r="AH47" s="168">
        <v>11829375</v>
      </c>
      <c r="AI47" s="168">
        <v>11872738</v>
      </c>
      <c r="AJ47" s="168"/>
      <c r="AK47" s="168">
        <v>5986204</v>
      </c>
      <c r="AL47" s="168">
        <v>7526150</v>
      </c>
      <c r="AM47" s="168">
        <v>8956013</v>
      </c>
      <c r="AN47" s="168">
        <f>Q47</f>
        <v>9171068</v>
      </c>
      <c r="AO47" s="168">
        <f>U47</f>
        <v>10261214</v>
      </c>
      <c r="AP47" s="168">
        <f>Y47</f>
        <v>11098635</v>
      </c>
      <c r="AQ47" s="168">
        <f t="shared" si="13"/>
        <v>11582368</v>
      </c>
      <c r="AR47" s="168">
        <f t="shared" si="14"/>
        <v>11655490</v>
      </c>
    </row>
    <row r="48" spans="1:44" s="88" customFormat="1" ht="12" thickBot="1">
      <c r="A48" s="185"/>
      <c r="B48" s="186">
        <v>5749523</v>
      </c>
      <c r="C48" s="186">
        <v>5847604</v>
      </c>
      <c r="D48" s="186">
        <v>6323229</v>
      </c>
      <c r="E48" s="186">
        <v>6809442</v>
      </c>
      <c r="F48" s="186">
        <v>7406344</v>
      </c>
      <c r="G48" s="186">
        <v>7726165</v>
      </c>
      <c r="H48" s="186">
        <v>8258406</v>
      </c>
      <c r="I48" s="186">
        <v>8991531</v>
      </c>
      <c r="J48" s="177"/>
      <c r="K48" s="177"/>
      <c r="L48" s="178"/>
      <c r="M48" s="178"/>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86">
        <v>6809442</v>
      </c>
      <c r="AL48" s="186">
        <v>8991531</v>
      </c>
      <c r="AM48" s="186"/>
      <c r="AN48" s="186"/>
      <c r="AO48" s="186">
        <f>U48</f>
        <v>0</v>
      </c>
      <c r="AP48" s="186">
        <f>Y48</f>
        <v>0</v>
      </c>
      <c r="AQ48" s="186">
        <f t="shared" si="13"/>
        <v>0</v>
      </c>
      <c r="AR48" s="186">
        <f t="shared" si="14"/>
        <v>0</v>
      </c>
    </row>
    <row r="49" spans="1:44" s="88" customFormat="1" ht="12" thickBot="1">
      <c r="A49" s="85" t="s">
        <v>131</v>
      </c>
      <c r="B49" s="175">
        <v>6825039</v>
      </c>
      <c r="C49" s="175">
        <v>7374167</v>
      </c>
      <c r="D49" s="175">
        <v>8290093</v>
      </c>
      <c r="E49" s="175">
        <v>8716990</v>
      </c>
      <c r="F49" s="175">
        <v>9304547</v>
      </c>
      <c r="G49" s="175">
        <v>9411516</v>
      </c>
      <c r="H49" s="175">
        <v>10009135</v>
      </c>
      <c r="I49" s="175">
        <v>13075942</v>
      </c>
      <c r="J49" s="175">
        <v>14412634</v>
      </c>
      <c r="K49" s="175">
        <v>15112421</v>
      </c>
      <c r="L49" s="176">
        <v>16518715</v>
      </c>
      <c r="M49" s="176">
        <v>14064528</v>
      </c>
      <c r="N49" s="175">
        <v>11797205</v>
      </c>
      <c r="O49" s="175">
        <v>12339447</v>
      </c>
      <c r="P49" s="175">
        <v>12450146</v>
      </c>
      <c r="Q49" s="175">
        <v>12501944</v>
      </c>
      <c r="R49" s="175">
        <v>13028984</v>
      </c>
      <c r="S49" s="175">
        <v>12863091</v>
      </c>
      <c r="T49" s="175">
        <v>13880210</v>
      </c>
      <c r="U49" s="175">
        <v>13899025</v>
      </c>
      <c r="V49" s="175">
        <v>15150481</v>
      </c>
      <c r="W49" s="175">
        <v>15950535</v>
      </c>
      <c r="X49" s="175">
        <v>17084114</v>
      </c>
      <c r="Y49" s="175">
        <v>17257176</v>
      </c>
      <c r="Z49" s="175">
        <v>18608515</v>
      </c>
      <c r="AA49" s="175">
        <f>AA39+AA41+AA42</f>
        <v>17102795</v>
      </c>
      <c r="AB49" s="175">
        <v>18948548</v>
      </c>
      <c r="AC49" s="175">
        <v>18457520</v>
      </c>
      <c r="AD49" s="175">
        <v>18510300</v>
      </c>
      <c r="AE49" s="175">
        <f>AE41+AE42+AE39</f>
        <v>17637822</v>
      </c>
      <c r="AF49" s="175">
        <f>AF41+AF42+AF39</f>
        <v>16305424</v>
      </c>
      <c r="AG49" s="175">
        <f>AG41+AG42+AG39</f>
        <v>16284081</v>
      </c>
      <c r="AH49" s="175">
        <f>AH41+AH42+AH39</f>
        <v>15206245</v>
      </c>
      <c r="AI49" s="175">
        <f>AI41+AI42+AI39</f>
        <v>15863407</v>
      </c>
      <c r="AJ49" s="175"/>
      <c r="AK49" s="175">
        <v>8716990</v>
      </c>
      <c r="AL49" s="175">
        <v>13075942</v>
      </c>
      <c r="AM49" s="175">
        <v>14064528</v>
      </c>
      <c r="AN49" s="175">
        <f>Q49</f>
        <v>12501944</v>
      </c>
      <c r="AO49" s="175">
        <f>U49</f>
        <v>13899025</v>
      </c>
      <c r="AP49" s="175">
        <f>Y49</f>
        <v>17257176</v>
      </c>
      <c r="AQ49" s="175">
        <f t="shared" si="13"/>
        <v>18457520</v>
      </c>
      <c r="AR49" s="175">
        <f t="shared" si="14"/>
        <v>16284081</v>
      </c>
    </row>
    <row r="50" spans="2:44" s="88" customFormat="1" ht="12" thickBot="1">
      <c r="B50" s="187"/>
      <c r="C50" s="187"/>
      <c r="D50" s="187"/>
      <c r="E50" s="187"/>
      <c r="F50" s="187"/>
      <c r="G50" s="187"/>
      <c r="H50" s="187"/>
      <c r="I50" s="187"/>
      <c r="J50" s="187"/>
      <c r="K50" s="187"/>
      <c r="L50" s="188"/>
      <c r="M50" s="188"/>
      <c r="N50" s="187"/>
      <c r="O50" s="187"/>
      <c r="P50" s="187"/>
      <c r="Q50" s="187"/>
      <c r="R50" s="187"/>
      <c r="S50" s="187"/>
      <c r="T50" s="187"/>
      <c r="U50" s="187"/>
      <c r="V50" s="187"/>
      <c r="W50" s="281"/>
      <c r="X50" s="281"/>
      <c r="Y50" s="281"/>
      <c r="Z50" s="281"/>
      <c r="AA50" s="281"/>
      <c r="AB50" s="281"/>
      <c r="AC50" s="281"/>
      <c r="AD50" s="281"/>
      <c r="AE50" s="281"/>
      <c r="AF50" s="281"/>
      <c r="AG50" s="281"/>
      <c r="AH50" s="281"/>
      <c r="AI50" s="281"/>
      <c r="AJ50" s="187"/>
      <c r="AK50" s="187"/>
      <c r="AL50" s="187"/>
      <c r="AM50" s="187"/>
      <c r="AN50" s="187"/>
      <c r="AO50" s="187"/>
      <c r="AP50" s="187"/>
      <c r="AQ50" s="187"/>
      <c r="AR50" s="187"/>
    </row>
    <row r="51" spans="1:44" s="88" customFormat="1" ht="12" thickBot="1">
      <c r="A51" s="85" t="s">
        <v>9</v>
      </c>
      <c r="B51" s="175">
        <v>-2294156</v>
      </c>
      <c r="C51" s="175">
        <v>-1247783</v>
      </c>
      <c r="D51" s="175">
        <v>-1263370</v>
      </c>
      <c r="E51" s="175">
        <v>-405539</v>
      </c>
      <c r="F51" s="175">
        <v>-785125</v>
      </c>
      <c r="G51" s="175">
        <v>-1394199</v>
      </c>
      <c r="H51" s="175">
        <v>-1461858</v>
      </c>
      <c r="I51" s="175">
        <v>301692</v>
      </c>
      <c r="J51" s="175">
        <v>745520</v>
      </c>
      <c r="K51" s="175">
        <v>179109</v>
      </c>
      <c r="L51" s="176">
        <v>587399</v>
      </c>
      <c r="M51" s="176">
        <v>841500</v>
      </c>
      <c r="N51" s="175">
        <v>915072</v>
      </c>
      <c r="O51" s="175">
        <v>736541</v>
      </c>
      <c r="P51" s="175">
        <v>760586</v>
      </c>
      <c r="Q51" s="175">
        <v>796257</v>
      </c>
      <c r="R51" s="175">
        <v>954659</v>
      </c>
      <c r="S51" s="175">
        <v>948475</v>
      </c>
      <c r="T51" s="175">
        <v>1147737</v>
      </c>
      <c r="U51" s="175">
        <v>1453800</v>
      </c>
      <c r="V51" s="175">
        <v>1384219</v>
      </c>
      <c r="W51" s="175">
        <f aca="true" t="shared" si="15" ref="W51:AG51">W29+W34-W5-W6</f>
        <v>1500449</v>
      </c>
      <c r="X51" s="175">
        <f t="shared" si="15"/>
        <v>2932931</v>
      </c>
      <c r="Y51" s="175">
        <f t="shared" si="15"/>
        <v>3355350</v>
      </c>
      <c r="Z51" s="175">
        <f t="shared" si="15"/>
        <v>3537768</v>
      </c>
      <c r="AA51" s="175">
        <f t="shared" si="15"/>
        <v>3563749</v>
      </c>
      <c r="AB51" s="175">
        <f t="shared" si="15"/>
        <v>3470000</v>
      </c>
      <c r="AC51" s="175">
        <f t="shared" si="15"/>
        <v>3573570</v>
      </c>
      <c r="AD51" s="175">
        <f t="shared" si="15"/>
        <v>3452618</v>
      </c>
      <c r="AE51" s="175">
        <f t="shared" si="15"/>
        <v>3424022</v>
      </c>
      <c r="AF51" s="175">
        <f t="shared" si="15"/>
        <v>2772096</v>
      </c>
      <c r="AG51" s="175">
        <f t="shared" si="15"/>
        <v>2702354</v>
      </c>
      <c r="AH51" s="175">
        <f>AH29+AH34-AH5-AH6</f>
        <v>2301249</v>
      </c>
      <c r="AI51" s="175">
        <f>AI29+AI34-AI5-AI6</f>
        <v>2102667</v>
      </c>
      <c r="AJ51" s="175"/>
      <c r="AK51" s="175">
        <v>-405539</v>
      </c>
      <c r="AL51" s="175">
        <v>301692</v>
      </c>
      <c r="AM51" s="175">
        <v>841500</v>
      </c>
      <c r="AN51" s="175">
        <f>Q51</f>
        <v>796257</v>
      </c>
      <c r="AO51" s="175">
        <f>U51</f>
        <v>1453800</v>
      </c>
      <c r="AP51" s="175">
        <f>Y51</f>
        <v>3355350</v>
      </c>
      <c r="AQ51" s="175">
        <f>AC51</f>
        <v>3573570</v>
      </c>
      <c r="AR51" s="175">
        <f>AR29+AR34-AR5-AR6</f>
        <v>2702354</v>
      </c>
    </row>
    <row r="52" spans="2:37" s="88" customFormat="1" ht="11.25">
      <c r="B52" s="111"/>
      <c r="C52" s="92"/>
      <c r="D52" s="92"/>
      <c r="E52" s="92"/>
      <c r="F52" s="92"/>
      <c r="G52" s="7"/>
      <c r="H52" s="7"/>
      <c r="I52" s="7"/>
      <c r="J52" s="92"/>
      <c r="K52" s="92"/>
      <c r="L52" s="189"/>
      <c r="M52" s="189"/>
      <c r="N52" s="92"/>
      <c r="O52" s="92"/>
      <c r="P52" s="92"/>
      <c r="Q52" s="92"/>
      <c r="R52" s="92"/>
      <c r="S52" s="92"/>
      <c r="T52" s="92"/>
      <c r="U52" s="92"/>
      <c r="V52" s="92"/>
      <c r="W52" s="92"/>
      <c r="X52" s="92"/>
      <c r="Y52" s="92"/>
      <c r="Z52" s="92"/>
      <c r="AA52" s="92"/>
      <c r="AB52" s="92"/>
      <c r="AC52" s="92"/>
      <c r="AD52" s="92"/>
      <c r="AE52" s="92"/>
      <c r="AF52" s="92"/>
      <c r="AG52" s="92"/>
      <c r="AH52" s="92"/>
      <c r="AI52" s="92"/>
      <c r="AJ52" s="92"/>
      <c r="AK52" s="7"/>
    </row>
    <row r="53" spans="2:37" s="88" customFormat="1" ht="11.25">
      <c r="B53" s="190"/>
      <c r="C53" s="92"/>
      <c r="D53" s="92"/>
      <c r="E53" s="92"/>
      <c r="F53" s="92"/>
      <c r="G53" s="7"/>
      <c r="H53" s="7"/>
      <c r="I53" s="7"/>
      <c r="J53" s="92"/>
      <c r="K53" s="92"/>
      <c r="L53" s="189"/>
      <c r="M53" s="191"/>
      <c r="N53" s="92"/>
      <c r="O53" s="92"/>
      <c r="P53" s="92"/>
      <c r="Q53" s="92"/>
      <c r="R53" s="92"/>
      <c r="S53" s="92"/>
      <c r="T53" s="92"/>
      <c r="U53" s="92"/>
      <c r="V53" s="92"/>
      <c r="W53" s="92"/>
      <c r="X53" s="92"/>
      <c r="Y53" s="92"/>
      <c r="Z53" s="92"/>
      <c r="AA53" s="92"/>
      <c r="AB53" s="92"/>
      <c r="AC53" s="92"/>
      <c r="AD53" s="92"/>
      <c r="AE53" s="92"/>
      <c r="AF53" s="92"/>
      <c r="AG53" s="92"/>
      <c r="AH53" s="92"/>
      <c r="AI53" s="92"/>
      <c r="AJ53" s="92"/>
      <c r="AK53" s="7"/>
    </row>
    <row r="54" spans="2:44" s="88" customFormat="1" ht="11.25">
      <c r="B54" s="111"/>
      <c r="C54" s="92"/>
      <c r="D54" s="92"/>
      <c r="E54" s="92"/>
      <c r="F54" s="92"/>
      <c r="G54" s="7"/>
      <c r="H54" s="7"/>
      <c r="I54" s="7"/>
      <c r="J54" s="92"/>
      <c r="K54" s="92"/>
      <c r="L54" s="189"/>
      <c r="M54" s="189"/>
      <c r="N54" s="92"/>
      <c r="O54" s="92"/>
      <c r="P54" s="92"/>
      <c r="Q54" s="92"/>
      <c r="R54" s="92"/>
      <c r="S54" s="92"/>
      <c r="T54" s="92"/>
      <c r="U54" s="92"/>
      <c r="V54" s="92"/>
      <c r="W54" s="92"/>
      <c r="X54" s="92"/>
      <c r="Y54" s="92"/>
      <c r="Z54" s="92"/>
      <c r="AA54" s="92"/>
      <c r="AB54" s="92"/>
      <c r="AC54" s="92"/>
      <c r="AD54" s="92"/>
      <c r="AE54" s="92"/>
      <c r="AF54" s="92"/>
      <c r="AG54" s="92"/>
      <c r="AH54" s="92"/>
      <c r="AI54" s="92"/>
      <c r="AJ54" s="92"/>
      <c r="AK54" s="7"/>
      <c r="AR54" s="327"/>
    </row>
    <row r="55" spans="2:37" s="88" customFormat="1" ht="11.25">
      <c r="B55" s="111"/>
      <c r="C55" s="92"/>
      <c r="D55" s="92"/>
      <c r="E55" s="92"/>
      <c r="F55" s="92"/>
      <c r="G55" s="7"/>
      <c r="H55" s="7"/>
      <c r="I55" s="7"/>
      <c r="J55" s="92"/>
      <c r="K55" s="92"/>
      <c r="L55" s="189"/>
      <c r="M55" s="189"/>
      <c r="N55" s="92"/>
      <c r="O55" s="92"/>
      <c r="P55" s="92"/>
      <c r="Q55" s="92"/>
      <c r="R55" s="92"/>
      <c r="S55" s="92"/>
      <c r="T55" s="92"/>
      <c r="U55" s="92"/>
      <c r="V55" s="92"/>
      <c r="W55" s="92"/>
      <c r="X55" s="92"/>
      <c r="Y55" s="92"/>
      <c r="Z55" s="92"/>
      <c r="AA55" s="92"/>
      <c r="AB55" s="92"/>
      <c r="AC55" s="92"/>
      <c r="AD55" s="92"/>
      <c r="AE55" s="92"/>
      <c r="AF55" s="92"/>
      <c r="AG55" s="92"/>
      <c r="AH55" s="92"/>
      <c r="AI55" s="92"/>
      <c r="AJ55" s="92"/>
      <c r="AK55" s="7"/>
    </row>
    <row r="56" spans="2:37" s="88" customFormat="1" ht="11.25">
      <c r="B56" s="111"/>
      <c r="C56" s="92"/>
      <c r="D56" s="92"/>
      <c r="E56" s="92"/>
      <c r="F56" s="92"/>
      <c r="G56" s="7"/>
      <c r="H56" s="7"/>
      <c r="I56" s="7"/>
      <c r="J56" s="92"/>
      <c r="K56" s="92"/>
      <c r="L56" s="189"/>
      <c r="M56" s="189"/>
      <c r="N56" s="92"/>
      <c r="O56" s="92"/>
      <c r="P56" s="92"/>
      <c r="Q56" s="92"/>
      <c r="R56" s="92"/>
      <c r="S56" s="92"/>
      <c r="T56" s="92"/>
      <c r="U56" s="92"/>
      <c r="V56" s="92"/>
      <c r="W56" s="92"/>
      <c r="X56" s="92"/>
      <c r="Y56" s="92"/>
      <c r="Z56" s="92"/>
      <c r="AA56" s="92"/>
      <c r="AB56" s="92"/>
      <c r="AC56" s="92"/>
      <c r="AD56" s="92"/>
      <c r="AE56" s="92"/>
      <c r="AF56" s="92"/>
      <c r="AG56" s="92"/>
      <c r="AH56" s="92"/>
      <c r="AI56" s="92"/>
      <c r="AJ56" s="92"/>
      <c r="AK56" s="7"/>
    </row>
    <row r="57" spans="2:37" s="88" customFormat="1" ht="11.25">
      <c r="B57" s="111"/>
      <c r="C57" s="92"/>
      <c r="D57" s="92"/>
      <c r="E57" s="92"/>
      <c r="F57" s="92"/>
      <c r="G57" s="7"/>
      <c r="H57" s="7"/>
      <c r="I57" s="7"/>
      <c r="J57" s="92"/>
      <c r="K57" s="92"/>
      <c r="L57" s="189"/>
      <c r="M57" s="189"/>
      <c r="N57" s="92"/>
      <c r="O57" s="92"/>
      <c r="P57" s="92"/>
      <c r="Q57" s="92"/>
      <c r="R57" s="92"/>
      <c r="S57" s="92"/>
      <c r="T57" s="92"/>
      <c r="U57" s="92"/>
      <c r="V57" s="92"/>
      <c r="W57" s="92"/>
      <c r="X57" s="92"/>
      <c r="Y57" s="92"/>
      <c r="Z57" s="92"/>
      <c r="AA57" s="92"/>
      <c r="AB57" s="92"/>
      <c r="AC57" s="92"/>
      <c r="AD57" s="92"/>
      <c r="AE57" s="92"/>
      <c r="AF57" s="92"/>
      <c r="AG57" s="92"/>
      <c r="AH57" s="92"/>
      <c r="AI57" s="92"/>
      <c r="AJ57" s="92"/>
      <c r="AK57" s="7"/>
    </row>
    <row r="58" spans="1:37" s="88" customFormat="1" ht="11.25">
      <c r="A58" s="7"/>
      <c r="B58" s="92"/>
      <c r="C58" s="92"/>
      <c r="D58" s="92"/>
      <c r="E58" s="92"/>
      <c r="F58" s="92"/>
      <c r="G58" s="7"/>
      <c r="H58" s="7"/>
      <c r="I58" s="7"/>
      <c r="J58" s="92"/>
      <c r="K58" s="92"/>
      <c r="L58" s="189"/>
      <c r="M58" s="189"/>
      <c r="N58" s="92"/>
      <c r="O58" s="92"/>
      <c r="P58" s="92"/>
      <c r="Q58" s="92"/>
      <c r="R58" s="92"/>
      <c r="S58" s="92"/>
      <c r="T58" s="92"/>
      <c r="U58" s="92"/>
      <c r="V58" s="92"/>
      <c r="W58" s="92"/>
      <c r="X58" s="92"/>
      <c r="Y58" s="92"/>
      <c r="Z58" s="92"/>
      <c r="AA58" s="92"/>
      <c r="AB58" s="92"/>
      <c r="AC58" s="92"/>
      <c r="AD58" s="92"/>
      <c r="AE58" s="92"/>
      <c r="AF58" s="92"/>
      <c r="AG58" s="92"/>
      <c r="AH58" s="92"/>
      <c r="AI58" s="92"/>
      <c r="AJ58" s="92"/>
      <c r="AK58" s="7"/>
    </row>
    <row r="59" spans="1:37" s="88" customFormat="1" ht="11.25">
      <c r="A59" s="7"/>
      <c r="B59" s="92"/>
      <c r="C59" s="92"/>
      <c r="D59" s="92"/>
      <c r="E59" s="92"/>
      <c r="F59" s="92"/>
      <c r="G59" s="7"/>
      <c r="H59" s="7"/>
      <c r="I59" s="7"/>
      <c r="J59" s="92"/>
      <c r="K59" s="92"/>
      <c r="L59" s="189"/>
      <c r="M59" s="189"/>
      <c r="N59" s="92"/>
      <c r="O59" s="92"/>
      <c r="P59" s="92"/>
      <c r="Q59" s="92"/>
      <c r="R59" s="92"/>
      <c r="S59" s="92"/>
      <c r="T59" s="92"/>
      <c r="U59" s="92"/>
      <c r="V59" s="92"/>
      <c r="W59" s="92"/>
      <c r="X59" s="92"/>
      <c r="Y59" s="92"/>
      <c r="Z59" s="92"/>
      <c r="AA59" s="92"/>
      <c r="AB59" s="92"/>
      <c r="AC59" s="92"/>
      <c r="AD59" s="92"/>
      <c r="AE59" s="92"/>
      <c r="AF59" s="92"/>
      <c r="AG59" s="92"/>
      <c r="AH59" s="92"/>
      <c r="AI59" s="92"/>
      <c r="AJ59" s="92"/>
      <c r="AK59" s="7"/>
    </row>
    <row r="60" spans="1:37" s="88" customFormat="1" ht="11.25">
      <c r="A60" s="7"/>
      <c r="B60" s="92"/>
      <c r="C60" s="92"/>
      <c r="D60" s="92"/>
      <c r="E60" s="92"/>
      <c r="F60" s="92"/>
      <c r="G60" s="7"/>
      <c r="H60" s="7"/>
      <c r="I60" s="7"/>
      <c r="J60" s="92"/>
      <c r="K60" s="92"/>
      <c r="L60" s="189"/>
      <c r="M60" s="189"/>
      <c r="N60" s="92"/>
      <c r="O60" s="92"/>
      <c r="P60" s="92"/>
      <c r="Q60" s="92"/>
      <c r="R60" s="92"/>
      <c r="S60" s="92"/>
      <c r="T60" s="92"/>
      <c r="U60" s="92"/>
      <c r="V60" s="92"/>
      <c r="W60" s="92"/>
      <c r="X60" s="92"/>
      <c r="Y60" s="92"/>
      <c r="Z60" s="92"/>
      <c r="AA60" s="92"/>
      <c r="AB60" s="92"/>
      <c r="AC60" s="92"/>
      <c r="AD60" s="92"/>
      <c r="AE60" s="92"/>
      <c r="AF60" s="92"/>
      <c r="AG60" s="92"/>
      <c r="AH60" s="92"/>
      <c r="AI60" s="92"/>
      <c r="AJ60" s="92"/>
      <c r="AK60" s="7"/>
    </row>
    <row r="61" spans="2:37" s="88" customFormat="1" ht="11.25">
      <c r="B61" s="111"/>
      <c r="C61" s="92"/>
      <c r="D61" s="92"/>
      <c r="E61" s="92"/>
      <c r="F61" s="92"/>
      <c r="G61" s="7"/>
      <c r="H61" s="7"/>
      <c r="I61" s="7"/>
      <c r="J61" s="92"/>
      <c r="K61" s="92"/>
      <c r="L61" s="189"/>
      <c r="M61" s="189"/>
      <c r="N61" s="92"/>
      <c r="O61" s="92"/>
      <c r="P61" s="92"/>
      <c r="Q61" s="92"/>
      <c r="R61" s="92"/>
      <c r="S61" s="92"/>
      <c r="T61" s="92"/>
      <c r="U61" s="92"/>
      <c r="V61" s="92"/>
      <c r="W61" s="92"/>
      <c r="X61" s="92"/>
      <c r="Y61" s="92"/>
      <c r="Z61" s="92"/>
      <c r="AA61" s="92"/>
      <c r="AB61" s="92"/>
      <c r="AC61" s="92"/>
      <c r="AD61" s="92"/>
      <c r="AE61" s="92"/>
      <c r="AF61" s="92"/>
      <c r="AG61" s="92"/>
      <c r="AH61" s="92"/>
      <c r="AI61" s="92"/>
      <c r="AJ61" s="92"/>
      <c r="AK61" s="7"/>
    </row>
    <row r="62" spans="1:37" ht="12.75">
      <c r="A62" s="1"/>
      <c r="C62" s="94"/>
      <c r="D62" s="94"/>
      <c r="E62" s="94"/>
      <c r="F62" s="94"/>
      <c r="G62" s="50"/>
      <c r="H62" s="50"/>
      <c r="I62" s="50"/>
      <c r="J62" s="94"/>
      <c r="K62" s="94"/>
      <c r="L62" s="192"/>
      <c r="M62" s="192"/>
      <c r="N62" s="94"/>
      <c r="O62" s="94"/>
      <c r="P62" s="94"/>
      <c r="Q62" s="94"/>
      <c r="R62" s="94"/>
      <c r="S62" s="94"/>
      <c r="T62" s="94"/>
      <c r="U62" s="94"/>
      <c r="V62" s="94"/>
      <c r="W62" s="94"/>
      <c r="X62" s="94"/>
      <c r="Y62" s="94"/>
      <c r="Z62" s="94"/>
      <c r="AA62" s="94"/>
      <c r="AB62" s="94"/>
      <c r="AC62" s="94"/>
      <c r="AD62" s="94"/>
      <c r="AE62" s="94"/>
      <c r="AF62" s="94"/>
      <c r="AG62" s="94"/>
      <c r="AH62" s="94"/>
      <c r="AI62" s="94"/>
      <c r="AJ62" s="94"/>
      <c r="AK62" s="50"/>
    </row>
    <row r="63" spans="1:37" ht="12.75">
      <c r="A63" s="1"/>
      <c r="C63" s="94"/>
      <c r="D63" s="94"/>
      <c r="E63" s="94"/>
      <c r="F63" s="94"/>
      <c r="G63" s="50"/>
      <c r="H63" s="50"/>
      <c r="I63" s="50"/>
      <c r="J63" s="94"/>
      <c r="K63" s="94"/>
      <c r="L63" s="192"/>
      <c r="M63" s="192"/>
      <c r="N63" s="94"/>
      <c r="O63" s="94"/>
      <c r="P63" s="94"/>
      <c r="Q63" s="94"/>
      <c r="R63" s="94"/>
      <c r="S63" s="94"/>
      <c r="T63" s="94"/>
      <c r="U63" s="94"/>
      <c r="V63" s="94"/>
      <c r="W63" s="94"/>
      <c r="X63" s="94"/>
      <c r="Y63" s="94"/>
      <c r="Z63" s="94"/>
      <c r="AA63" s="94"/>
      <c r="AB63" s="94"/>
      <c r="AC63" s="94"/>
      <c r="AD63" s="94"/>
      <c r="AE63" s="94"/>
      <c r="AF63" s="94"/>
      <c r="AG63" s="94"/>
      <c r="AH63" s="94"/>
      <c r="AI63" s="94"/>
      <c r="AJ63" s="94"/>
      <c r="AK63" s="50"/>
    </row>
    <row r="64" spans="1:37" ht="12.75">
      <c r="A64" s="1"/>
      <c r="C64" s="94"/>
      <c r="D64" s="94"/>
      <c r="E64" s="94"/>
      <c r="F64" s="94"/>
      <c r="G64" s="50"/>
      <c r="H64" s="50"/>
      <c r="I64" s="50"/>
      <c r="J64" s="94"/>
      <c r="K64" s="94"/>
      <c r="L64" s="192"/>
      <c r="M64" s="192"/>
      <c r="N64" s="94"/>
      <c r="O64" s="94"/>
      <c r="P64" s="94"/>
      <c r="Q64" s="94"/>
      <c r="R64" s="94"/>
      <c r="S64" s="94"/>
      <c r="T64" s="94"/>
      <c r="U64" s="94"/>
      <c r="V64" s="94"/>
      <c r="W64" s="94"/>
      <c r="X64" s="94"/>
      <c r="Y64" s="94"/>
      <c r="Z64" s="94"/>
      <c r="AA64" s="94"/>
      <c r="AB64" s="94"/>
      <c r="AC64" s="94"/>
      <c r="AD64" s="94"/>
      <c r="AE64" s="94"/>
      <c r="AF64" s="94"/>
      <c r="AG64" s="94"/>
      <c r="AH64" s="94"/>
      <c r="AI64" s="94"/>
      <c r="AJ64" s="94"/>
      <c r="AK64" s="50"/>
    </row>
    <row r="65" spans="1:37" ht="12.75">
      <c r="A65" s="1"/>
      <c r="C65" s="94"/>
      <c r="D65" s="94"/>
      <c r="E65" s="94"/>
      <c r="F65" s="94"/>
      <c r="G65" s="50"/>
      <c r="H65" s="50"/>
      <c r="I65" s="50"/>
      <c r="J65" s="94"/>
      <c r="K65" s="94"/>
      <c r="L65" s="192"/>
      <c r="M65" s="192"/>
      <c r="N65" s="94"/>
      <c r="O65" s="94"/>
      <c r="P65" s="94"/>
      <c r="Q65" s="94"/>
      <c r="R65" s="94"/>
      <c r="S65" s="94"/>
      <c r="T65" s="94"/>
      <c r="U65" s="94"/>
      <c r="V65" s="94"/>
      <c r="W65" s="94"/>
      <c r="X65" s="94"/>
      <c r="Y65" s="94"/>
      <c r="Z65" s="94"/>
      <c r="AA65" s="94"/>
      <c r="AB65" s="94"/>
      <c r="AC65" s="94"/>
      <c r="AD65" s="94"/>
      <c r="AE65" s="94"/>
      <c r="AF65" s="94"/>
      <c r="AG65" s="94"/>
      <c r="AH65" s="94"/>
      <c r="AI65" s="94"/>
      <c r="AJ65" s="94"/>
      <c r="AK65" s="50"/>
    </row>
    <row r="66" spans="1:37" ht="12.75">
      <c r="A66" s="1"/>
      <c r="C66" s="94"/>
      <c r="D66" s="94"/>
      <c r="E66" s="94"/>
      <c r="F66" s="94"/>
      <c r="G66" s="50"/>
      <c r="H66" s="50"/>
      <c r="I66" s="50"/>
      <c r="J66" s="94"/>
      <c r="K66" s="94"/>
      <c r="L66" s="192"/>
      <c r="M66" s="192"/>
      <c r="N66" s="94"/>
      <c r="O66" s="94"/>
      <c r="P66" s="94"/>
      <c r="Q66" s="94"/>
      <c r="R66" s="94"/>
      <c r="S66" s="94"/>
      <c r="T66" s="94"/>
      <c r="U66" s="94"/>
      <c r="V66" s="94"/>
      <c r="W66" s="94"/>
      <c r="X66" s="94"/>
      <c r="Y66" s="94"/>
      <c r="Z66" s="94"/>
      <c r="AA66" s="94"/>
      <c r="AB66" s="94"/>
      <c r="AC66" s="94"/>
      <c r="AD66" s="94"/>
      <c r="AE66" s="94"/>
      <c r="AF66" s="94"/>
      <c r="AG66" s="94"/>
      <c r="AH66" s="94"/>
      <c r="AI66" s="94"/>
      <c r="AJ66" s="94"/>
      <c r="AK66" s="50"/>
    </row>
    <row r="67" spans="1:37" ht="12.75">
      <c r="A67" s="1"/>
      <c r="C67" s="94"/>
      <c r="D67" s="94"/>
      <c r="E67" s="94"/>
      <c r="F67" s="94"/>
      <c r="G67" s="50"/>
      <c r="H67" s="50"/>
      <c r="I67" s="50"/>
      <c r="J67" s="94"/>
      <c r="K67" s="94"/>
      <c r="L67" s="192"/>
      <c r="M67" s="192"/>
      <c r="N67" s="94"/>
      <c r="O67" s="94"/>
      <c r="P67" s="94"/>
      <c r="Q67" s="94"/>
      <c r="R67" s="94"/>
      <c r="S67" s="94"/>
      <c r="T67" s="94"/>
      <c r="U67" s="94"/>
      <c r="V67" s="94"/>
      <c r="W67" s="94"/>
      <c r="X67" s="94"/>
      <c r="Y67" s="94"/>
      <c r="Z67" s="94"/>
      <c r="AA67" s="94"/>
      <c r="AB67" s="94"/>
      <c r="AC67" s="94"/>
      <c r="AD67" s="94"/>
      <c r="AE67" s="94"/>
      <c r="AF67" s="94"/>
      <c r="AG67" s="94"/>
      <c r="AH67" s="94"/>
      <c r="AI67" s="94"/>
      <c r="AJ67" s="94"/>
      <c r="AK67" s="50"/>
    </row>
    <row r="68" spans="1:37" ht="12.75">
      <c r="A68" s="1"/>
      <c r="C68" s="94"/>
      <c r="D68" s="94"/>
      <c r="E68" s="94"/>
      <c r="F68" s="94"/>
      <c r="G68" s="50"/>
      <c r="H68" s="50"/>
      <c r="I68" s="50"/>
      <c r="J68" s="94"/>
      <c r="K68" s="94"/>
      <c r="L68" s="192"/>
      <c r="M68" s="192"/>
      <c r="N68" s="94"/>
      <c r="O68" s="94"/>
      <c r="P68" s="94"/>
      <c r="Q68" s="94"/>
      <c r="R68" s="94"/>
      <c r="S68" s="94"/>
      <c r="T68" s="94"/>
      <c r="U68" s="94"/>
      <c r="V68" s="94"/>
      <c r="W68" s="94"/>
      <c r="X68" s="94"/>
      <c r="Y68" s="94"/>
      <c r="Z68" s="94"/>
      <c r="AA68" s="94"/>
      <c r="AB68" s="94"/>
      <c r="AC68" s="94"/>
      <c r="AD68" s="94"/>
      <c r="AE68" s="94"/>
      <c r="AF68" s="94"/>
      <c r="AG68" s="94"/>
      <c r="AH68" s="94"/>
      <c r="AI68" s="94"/>
      <c r="AJ68" s="94"/>
      <c r="AK68" s="50"/>
    </row>
    <row r="69" spans="1:37" ht="12.75">
      <c r="A69" s="1"/>
      <c r="C69" s="94"/>
      <c r="D69" s="94"/>
      <c r="E69" s="94"/>
      <c r="F69" s="94"/>
      <c r="G69" s="50"/>
      <c r="H69" s="50"/>
      <c r="I69" s="50"/>
      <c r="J69" s="94"/>
      <c r="K69" s="94"/>
      <c r="L69" s="192"/>
      <c r="M69" s="192"/>
      <c r="N69" s="94"/>
      <c r="O69" s="94"/>
      <c r="P69" s="94"/>
      <c r="Q69" s="94"/>
      <c r="R69" s="94"/>
      <c r="S69" s="94"/>
      <c r="T69" s="94"/>
      <c r="U69" s="94"/>
      <c r="V69" s="94"/>
      <c r="W69" s="94"/>
      <c r="X69" s="94"/>
      <c r="Y69" s="94"/>
      <c r="Z69" s="94"/>
      <c r="AA69" s="94"/>
      <c r="AB69" s="94"/>
      <c r="AC69" s="94"/>
      <c r="AD69" s="94"/>
      <c r="AE69" s="94"/>
      <c r="AF69" s="94"/>
      <c r="AG69" s="94"/>
      <c r="AH69" s="94"/>
      <c r="AI69" s="94"/>
      <c r="AJ69" s="94"/>
      <c r="AK69" s="50"/>
    </row>
    <row r="70" spans="1:37" ht="12.75">
      <c r="A70" s="1"/>
      <c r="C70" s="94"/>
      <c r="D70" s="94"/>
      <c r="E70" s="94"/>
      <c r="F70" s="94"/>
      <c r="G70" s="50"/>
      <c r="H70" s="50"/>
      <c r="I70" s="50"/>
      <c r="J70" s="94"/>
      <c r="K70" s="94"/>
      <c r="L70" s="192"/>
      <c r="M70" s="192"/>
      <c r="N70" s="94"/>
      <c r="O70" s="94"/>
      <c r="P70" s="94"/>
      <c r="Q70" s="94"/>
      <c r="R70" s="94"/>
      <c r="S70" s="94"/>
      <c r="T70" s="94"/>
      <c r="U70" s="94"/>
      <c r="V70" s="94"/>
      <c r="W70" s="94"/>
      <c r="X70" s="94"/>
      <c r="Y70" s="94"/>
      <c r="Z70" s="94"/>
      <c r="AA70" s="94"/>
      <c r="AB70" s="94"/>
      <c r="AC70" s="94"/>
      <c r="AD70" s="94"/>
      <c r="AE70" s="94"/>
      <c r="AF70" s="94"/>
      <c r="AG70" s="94"/>
      <c r="AH70" s="94"/>
      <c r="AI70" s="94"/>
      <c r="AJ70" s="94"/>
      <c r="AK70" s="50"/>
    </row>
    <row r="71" spans="1:37" ht="12.75">
      <c r="A71" s="1"/>
      <c r="C71" s="94"/>
      <c r="D71" s="94"/>
      <c r="E71" s="94"/>
      <c r="F71" s="94"/>
      <c r="G71" s="50"/>
      <c r="H71" s="50"/>
      <c r="I71" s="50"/>
      <c r="J71" s="94"/>
      <c r="K71" s="94"/>
      <c r="L71" s="192"/>
      <c r="M71" s="192"/>
      <c r="N71" s="94"/>
      <c r="O71" s="94"/>
      <c r="P71" s="94"/>
      <c r="Q71" s="94"/>
      <c r="R71" s="94"/>
      <c r="S71" s="94"/>
      <c r="T71" s="94"/>
      <c r="U71" s="94"/>
      <c r="V71" s="94"/>
      <c r="W71" s="94"/>
      <c r="X71" s="94"/>
      <c r="Y71" s="94"/>
      <c r="Z71" s="94"/>
      <c r="AA71" s="94"/>
      <c r="AB71" s="94"/>
      <c r="AC71" s="94"/>
      <c r="AD71" s="94"/>
      <c r="AE71" s="94"/>
      <c r="AF71" s="94"/>
      <c r="AG71" s="94"/>
      <c r="AH71" s="94"/>
      <c r="AI71" s="94"/>
      <c r="AJ71" s="94"/>
      <c r="AK71" s="50"/>
    </row>
    <row r="72" spans="1:37" ht="12.75">
      <c r="A72" s="50"/>
      <c r="C72" s="94"/>
      <c r="D72" s="94"/>
      <c r="E72" s="94"/>
      <c r="F72" s="94"/>
      <c r="G72" s="50"/>
      <c r="H72" s="50"/>
      <c r="I72" s="50"/>
      <c r="J72" s="94"/>
      <c r="K72" s="94"/>
      <c r="L72" s="192"/>
      <c r="M72" s="192"/>
      <c r="N72" s="94"/>
      <c r="O72" s="94"/>
      <c r="P72" s="94"/>
      <c r="Q72" s="94"/>
      <c r="R72" s="94"/>
      <c r="S72" s="94"/>
      <c r="T72" s="94"/>
      <c r="U72" s="94"/>
      <c r="V72" s="94"/>
      <c r="W72" s="94"/>
      <c r="X72" s="94"/>
      <c r="Y72" s="94"/>
      <c r="Z72" s="94"/>
      <c r="AA72" s="94"/>
      <c r="AB72" s="94"/>
      <c r="AC72" s="94"/>
      <c r="AD72" s="94"/>
      <c r="AE72" s="94"/>
      <c r="AF72" s="94"/>
      <c r="AG72" s="94"/>
      <c r="AH72" s="94"/>
      <c r="AI72" s="94"/>
      <c r="AJ72" s="94"/>
      <c r="AK72" s="50"/>
    </row>
    <row r="73" spans="1:37" ht="12.75">
      <c r="A73" s="50"/>
      <c r="C73" s="94"/>
      <c r="D73" s="94"/>
      <c r="E73" s="94"/>
      <c r="F73" s="94"/>
      <c r="G73" s="50"/>
      <c r="H73" s="50"/>
      <c r="I73" s="50"/>
      <c r="J73" s="94"/>
      <c r="K73" s="94"/>
      <c r="L73" s="192"/>
      <c r="M73" s="192"/>
      <c r="N73" s="94"/>
      <c r="O73" s="94"/>
      <c r="P73" s="94"/>
      <c r="Q73" s="94"/>
      <c r="R73" s="94"/>
      <c r="S73" s="94"/>
      <c r="T73" s="94"/>
      <c r="U73" s="94"/>
      <c r="V73" s="94"/>
      <c r="W73" s="94"/>
      <c r="X73" s="94"/>
      <c r="Y73" s="94"/>
      <c r="Z73" s="94"/>
      <c r="AA73" s="94"/>
      <c r="AB73" s="94"/>
      <c r="AC73" s="94"/>
      <c r="AD73" s="94"/>
      <c r="AE73" s="94"/>
      <c r="AF73" s="94"/>
      <c r="AG73" s="94"/>
      <c r="AH73" s="94"/>
      <c r="AI73" s="94"/>
      <c r="AJ73" s="94"/>
      <c r="AK73" s="50"/>
    </row>
    <row r="74" spans="1:37" ht="12.75">
      <c r="A74" s="1"/>
      <c r="C74" s="94"/>
      <c r="D74" s="94"/>
      <c r="E74" s="94"/>
      <c r="F74" s="94"/>
      <c r="G74" s="50"/>
      <c r="H74" s="50"/>
      <c r="I74" s="50"/>
      <c r="J74" s="94"/>
      <c r="K74" s="94"/>
      <c r="L74" s="192"/>
      <c r="M74" s="192"/>
      <c r="N74" s="94"/>
      <c r="O74" s="94"/>
      <c r="P74" s="94"/>
      <c r="Q74" s="94"/>
      <c r="R74" s="94"/>
      <c r="S74" s="94"/>
      <c r="T74" s="94"/>
      <c r="U74" s="94"/>
      <c r="V74" s="94"/>
      <c r="W74" s="94"/>
      <c r="X74" s="94"/>
      <c r="Y74" s="94"/>
      <c r="Z74" s="94"/>
      <c r="AA74" s="94"/>
      <c r="AB74" s="94"/>
      <c r="AC74" s="94"/>
      <c r="AD74" s="94"/>
      <c r="AE74" s="94"/>
      <c r="AF74" s="94"/>
      <c r="AG74" s="94"/>
      <c r="AH74" s="94"/>
      <c r="AI74" s="94"/>
      <c r="AJ74" s="94"/>
      <c r="AK74" s="50"/>
    </row>
    <row r="75" spans="1:37" ht="12.75">
      <c r="A75" s="1"/>
      <c r="C75" s="94"/>
      <c r="D75" s="94"/>
      <c r="E75" s="94"/>
      <c r="F75" s="94"/>
      <c r="G75" s="50"/>
      <c r="H75" s="50"/>
      <c r="I75" s="50"/>
      <c r="J75" s="94"/>
      <c r="K75" s="94"/>
      <c r="L75" s="192"/>
      <c r="M75" s="192"/>
      <c r="N75" s="94"/>
      <c r="O75" s="94"/>
      <c r="P75" s="94"/>
      <c r="Q75" s="94"/>
      <c r="R75" s="94"/>
      <c r="S75" s="94"/>
      <c r="T75" s="94"/>
      <c r="U75" s="94"/>
      <c r="V75" s="94"/>
      <c r="W75" s="94"/>
      <c r="X75" s="94"/>
      <c r="Y75" s="94"/>
      <c r="Z75" s="94"/>
      <c r="AA75" s="94"/>
      <c r="AB75" s="94"/>
      <c r="AC75" s="94"/>
      <c r="AD75" s="94"/>
      <c r="AE75" s="94"/>
      <c r="AF75" s="94"/>
      <c r="AG75" s="94"/>
      <c r="AH75" s="94"/>
      <c r="AI75" s="94"/>
      <c r="AJ75" s="94"/>
      <c r="AK75" s="50"/>
    </row>
    <row r="76" spans="1:37" ht="12.75">
      <c r="A76" s="1"/>
      <c r="C76" s="94"/>
      <c r="D76" s="94"/>
      <c r="E76" s="94"/>
      <c r="F76" s="94"/>
      <c r="G76" s="50"/>
      <c r="H76" s="50"/>
      <c r="I76" s="50"/>
      <c r="J76" s="94"/>
      <c r="K76" s="94"/>
      <c r="L76" s="192"/>
      <c r="M76" s="192"/>
      <c r="N76" s="94"/>
      <c r="O76" s="94"/>
      <c r="P76" s="94"/>
      <c r="Q76" s="94"/>
      <c r="R76" s="94"/>
      <c r="S76" s="94"/>
      <c r="T76" s="94"/>
      <c r="U76" s="94"/>
      <c r="V76" s="94"/>
      <c r="W76" s="94"/>
      <c r="X76" s="94"/>
      <c r="Y76" s="94"/>
      <c r="Z76" s="94"/>
      <c r="AA76" s="94"/>
      <c r="AB76" s="94"/>
      <c r="AC76" s="94"/>
      <c r="AD76" s="94"/>
      <c r="AE76" s="94"/>
      <c r="AF76" s="94"/>
      <c r="AG76" s="94"/>
      <c r="AH76" s="94"/>
      <c r="AI76" s="94"/>
      <c r="AJ76" s="94"/>
      <c r="AK76" s="50"/>
    </row>
    <row r="77" spans="1:37" ht="12.75">
      <c r="A77" s="1"/>
      <c r="C77" s="94"/>
      <c r="D77" s="94"/>
      <c r="E77" s="94"/>
      <c r="F77" s="94"/>
      <c r="G77" s="50"/>
      <c r="H77" s="50"/>
      <c r="I77" s="50"/>
      <c r="J77" s="94"/>
      <c r="K77" s="94"/>
      <c r="L77" s="192"/>
      <c r="M77" s="192"/>
      <c r="N77" s="94"/>
      <c r="O77" s="94"/>
      <c r="P77" s="94"/>
      <c r="Q77" s="94"/>
      <c r="R77" s="94"/>
      <c r="S77" s="94"/>
      <c r="T77" s="94"/>
      <c r="U77" s="94"/>
      <c r="V77" s="94"/>
      <c r="W77" s="94"/>
      <c r="X77" s="94"/>
      <c r="Y77" s="94"/>
      <c r="Z77" s="94"/>
      <c r="AA77" s="94"/>
      <c r="AB77" s="94"/>
      <c r="AC77" s="94"/>
      <c r="AD77" s="94"/>
      <c r="AE77" s="94"/>
      <c r="AF77" s="94"/>
      <c r="AG77" s="94"/>
      <c r="AH77" s="94"/>
      <c r="AI77" s="94"/>
      <c r="AJ77" s="94"/>
      <c r="AK77" s="50"/>
    </row>
    <row r="78" spans="1:37" ht="12.75">
      <c r="A78" s="1"/>
      <c r="C78" s="94"/>
      <c r="D78" s="94"/>
      <c r="E78" s="94"/>
      <c r="F78" s="94"/>
      <c r="G78" s="50"/>
      <c r="H78" s="50"/>
      <c r="I78" s="50"/>
      <c r="J78" s="94"/>
      <c r="K78" s="94"/>
      <c r="L78" s="192"/>
      <c r="M78" s="192"/>
      <c r="N78" s="94"/>
      <c r="O78" s="94"/>
      <c r="P78" s="94"/>
      <c r="Q78" s="94"/>
      <c r="R78" s="94"/>
      <c r="S78" s="94"/>
      <c r="T78" s="94"/>
      <c r="U78" s="94"/>
      <c r="V78" s="94"/>
      <c r="W78" s="94"/>
      <c r="X78" s="94"/>
      <c r="Y78" s="94"/>
      <c r="Z78" s="94"/>
      <c r="AA78" s="94"/>
      <c r="AB78" s="94"/>
      <c r="AC78" s="94"/>
      <c r="AD78" s="94"/>
      <c r="AE78" s="94"/>
      <c r="AF78" s="94"/>
      <c r="AG78" s="94"/>
      <c r="AH78" s="94"/>
      <c r="AI78" s="94"/>
      <c r="AJ78" s="94"/>
      <c r="AK78" s="50"/>
    </row>
    <row r="79" spans="1:37" ht="12.75">
      <c r="A79" s="1"/>
      <c r="C79" s="94"/>
      <c r="D79" s="94"/>
      <c r="E79" s="94"/>
      <c r="F79" s="94"/>
      <c r="G79" s="50"/>
      <c r="H79" s="50"/>
      <c r="I79" s="50"/>
      <c r="J79" s="94"/>
      <c r="K79" s="94"/>
      <c r="L79" s="192"/>
      <c r="M79" s="192"/>
      <c r="N79" s="94"/>
      <c r="O79" s="94"/>
      <c r="P79" s="94"/>
      <c r="Q79" s="94"/>
      <c r="R79" s="94"/>
      <c r="S79" s="94"/>
      <c r="T79" s="94"/>
      <c r="U79" s="94"/>
      <c r="V79" s="94"/>
      <c r="W79" s="94"/>
      <c r="X79" s="94"/>
      <c r="Y79" s="94"/>
      <c r="Z79" s="94"/>
      <c r="AA79" s="94"/>
      <c r="AB79" s="94"/>
      <c r="AC79" s="94"/>
      <c r="AD79" s="94"/>
      <c r="AE79" s="94"/>
      <c r="AF79" s="94"/>
      <c r="AG79" s="94"/>
      <c r="AH79" s="94"/>
      <c r="AI79" s="94"/>
      <c r="AJ79" s="94"/>
      <c r="AK79" s="50"/>
    </row>
    <row r="80" spans="1:37" ht="12.75">
      <c r="A80" s="1"/>
      <c r="C80" s="94"/>
      <c r="D80" s="94"/>
      <c r="E80" s="94"/>
      <c r="F80" s="94"/>
      <c r="G80" s="50"/>
      <c r="H80" s="50"/>
      <c r="I80" s="50"/>
      <c r="J80" s="94"/>
      <c r="K80" s="94"/>
      <c r="L80" s="192"/>
      <c r="M80" s="192"/>
      <c r="N80" s="94"/>
      <c r="O80" s="94"/>
      <c r="P80" s="94"/>
      <c r="Q80" s="94"/>
      <c r="R80" s="94"/>
      <c r="S80" s="94"/>
      <c r="T80" s="94"/>
      <c r="U80" s="94"/>
      <c r="V80" s="94"/>
      <c r="W80" s="94"/>
      <c r="X80" s="94"/>
      <c r="Y80" s="94"/>
      <c r="Z80" s="94"/>
      <c r="AA80" s="94"/>
      <c r="AB80" s="94"/>
      <c r="AC80" s="94"/>
      <c r="AD80" s="94"/>
      <c r="AE80" s="94"/>
      <c r="AF80" s="94"/>
      <c r="AG80" s="94"/>
      <c r="AH80" s="94"/>
      <c r="AI80" s="94"/>
      <c r="AJ80" s="94"/>
      <c r="AK80" s="50"/>
    </row>
    <row r="81" spans="1:37" ht="12.75">
      <c r="A81" s="1"/>
      <c r="C81" s="94"/>
      <c r="D81" s="94"/>
      <c r="E81" s="94"/>
      <c r="F81" s="94"/>
      <c r="G81" s="50"/>
      <c r="H81" s="50"/>
      <c r="I81" s="50"/>
      <c r="J81" s="94"/>
      <c r="K81" s="94"/>
      <c r="L81" s="192"/>
      <c r="M81" s="192"/>
      <c r="N81" s="94"/>
      <c r="O81" s="94"/>
      <c r="P81" s="94"/>
      <c r="Q81" s="94"/>
      <c r="R81" s="94"/>
      <c r="S81" s="94"/>
      <c r="T81" s="94"/>
      <c r="U81" s="94"/>
      <c r="V81" s="94"/>
      <c r="W81" s="94"/>
      <c r="X81" s="94"/>
      <c r="Y81" s="94"/>
      <c r="Z81" s="94"/>
      <c r="AA81" s="94"/>
      <c r="AB81" s="94"/>
      <c r="AC81" s="94"/>
      <c r="AD81" s="94"/>
      <c r="AE81" s="94"/>
      <c r="AF81" s="94"/>
      <c r="AG81" s="94"/>
      <c r="AH81" s="94"/>
      <c r="AI81" s="94"/>
      <c r="AJ81" s="94"/>
      <c r="AK81" s="50"/>
    </row>
    <row r="82" spans="1:37" ht="12.75">
      <c r="A82" s="1"/>
      <c r="C82" s="94"/>
      <c r="D82" s="94"/>
      <c r="E82" s="94"/>
      <c r="F82" s="94"/>
      <c r="G82" s="50"/>
      <c r="H82" s="50"/>
      <c r="I82" s="50"/>
      <c r="J82" s="94"/>
      <c r="K82" s="94"/>
      <c r="L82" s="192"/>
      <c r="M82" s="192"/>
      <c r="N82" s="94"/>
      <c r="O82" s="94"/>
      <c r="P82" s="94"/>
      <c r="Q82" s="94"/>
      <c r="R82" s="94"/>
      <c r="S82" s="94"/>
      <c r="T82" s="94"/>
      <c r="U82" s="94"/>
      <c r="V82" s="94"/>
      <c r="W82" s="94"/>
      <c r="X82" s="94"/>
      <c r="Y82" s="94"/>
      <c r="Z82" s="94"/>
      <c r="AA82" s="94"/>
      <c r="AB82" s="94"/>
      <c r="AC82" s="94"/>
      <c r="AD82" s="94"/>
      <c r="AE82" s="94"/>
      <c r="AF82" s="94"/>
      <c r="AG82" s="94"/>
      <c r="AH82" s="94"/>
      <c r="AI82" s="94"/>
      <c r="AJ82" s="94"/>
      <c r="AK82" s="50"/>
    </row>
    <row r="83" spans="1:37" ht="12.75">
      <c r="A83" s="1"/>
      <c r="C83" s="94"/>
      <c r="D83" s="94"/>
      <c r="E83" s="94"/>
      <c r="F83" s="94"/>
      <c r="G83" s="50"/>
      <c r="H83" s="50"/>
      <c r="I83" s="50"/>
      <c r="J83" s="94"/>
      <c r="K83" s="94"/>
      <c r="L83" s="192"/>
      <c r="M83" s="192"/>
      <c r="N83" s="94"/>
      <c r="O83" s="94"/>
      <c r="P83" s="94"/>
      <c r="Q83" s="94"/>
      <c r="R83" s="94"/>
      <c r="S83" s="94"/>
      <c r="T83" s="94"/>
      <c r="U83" s="94"/>
      <c r="V83" s="94"/>
      <c r="W83" s="94"/>
      <c r="X83" s="94"/>
      <c r="Y83" s="94"/>
      <c r="Z83" s="94"/>
      <c r="AA83" s="94"/>
      <c r="AB83" s="94"/>
      <c r="AC83" s="94"/>
      <c r="AD83" s="94"/>
      <c r="AE83" s="94"/>
      <c r="AF83" s="94"/>
      <c r="AG83" s="94"/>
      <c r="AH83" s="94"/>
      <c r="AI83" s="94"/>
      <c r="AJ83" s="94"/>
      <c r="AK83" s="50"/>
    </row>
    <row r="84" spans="1:37" ht="12.75">
      <c r="A84" s="1"/>
      <c r="C84" s="94"/>
      <c r="D84" s="94"/>
      <c r="E84" s="94"/>
      <c r="F84" s="94"/>
      <c r="G84" s="50"/>
      <c r="H84" s="50"/>
      <c r="I84" s="50"/>
      <c r="J84" s="94"/>
      <c r="K84" s="94"/>
      <c r="L84" s="192"/>
      <c r="M84" s="192"/>
      <c r="N84" s="94"/>
      <c r="O84" s="94"/>
      <c r="P84" s="94"/>
      <c r="Q84" s="94"/>
      <c r="R84" s="94"/>
      <c r="S84" s="94"/>
      <c r="T84" s="94"/>
      <c r="U84" s="94"/>
      <c r="V84" s="94"/>
      <c r="W84" s="94"/>
      <c r="X84" s="94"/>
      <c r="Y84" s="94"/>
      <c r="Z84" s="94"/>
      <c r="AA84" s="94"/>
      <c r="AB84" s="94"/>
      <c r="AC84" s="94"/>
      <c r="AD84" s="94"/>
      <c r="AE84" s="94"/>
      <c r="AF84" s="94"/>
      <c r="AG84" s="94"/>
      <c r="AH84" s="94"/>
      <c r="AI84" s="94"/>
      <c r="AJ84" s="94"/>
      <c r="AK84" s="50"/>
    </row>
    <row r="85" spans="1:37" ht="12.75">
      <c r="A85" s="1"/>
      <c r="C85" s="94"/>
      <c r="D85" s="94"/>
      <c r="E85" s="94"/>
      <c r="F85" s="94"/>
      <c r="G85" s="50"/>
      <c r="H85" s="50"/>
      <c r="I85" s="50"/>
      <c r="J85" s="94"/>
      <c r="K85" s="94"/>
      <c r="L85" s="192"/>
      <c r="M85" s="192"/>
      <c r="N85" s="94"/>
      <c r="O85" s="94"/>
      <c r="P85" s="94"/>
      <c r="Q85" s="94"/>
      <c r="R85" s="94"/>
      <c r="S85" s="94"/>
      <c r="T85" s="94"/>
      <c r="U85" s="94"/>
      <c r="V85" s="94"/>
      <c r="W85" s="94"/>
      <c r="X85" s="94"/>
      <c r="Y85" s="94"/>
      <c r="Z85" s="94"/>
      <c r="AA85" s="94"/>
      <c r="AB85" s="94"/>
      <c r="AC85" s="94"/>
      <c r="AD85" s="94"/>
      <c r="AE85" s="94"/>
      <c r="AF85" s="94"/>
      <c r="AG85" s="94"/>
      <c r="AH85" s="94"/>
      <c r="AI85" s="94"/>
      <c r="AJ85" s="94"/>
      <c r="AK85" s="50"/>
    </row>
    <row r="86" spans="1:37" ht="12.75">
      <c r="A86" s="1"/>
      <c r="C86" s="94"/>
      <c r="D86" s="94"/>
      <c r="E86" s="94"/>
      <c r="F86" s="94"/>
      <c r="G86" s="50"/>
      <c r="H86" s="50"/>
      <c r="I86" s="50"/>
      <c r="J86" s="94"/>
      <c r="K86" s="94"/>
      <c r="L86" s="192"/>
      <c r="M86" s="192"/>
      <c r="N86" s="94"/>
      <c r="O86" s="94"/>
      <c r="P86" s="94"/>
      <c r="Q86" s="94"/>
      <c r="R86" s="94"/>
      <c r="S86" s="94"/>
      <c r="T86" s="94"/>
      <c r="U86" s="94"/>
      <c r="V86" s="94"/>
      <c r="W86" s="94"/>
      <c r="X86" s="94"/>
      <c r="Y86" s="94"/>
      <c r="Z86" s="94"/>
      <c r="AA86" s="94"/>
      <c r="AB86" s="94"/>
      <c r="AC86" s="94"/>
      <c r="AD86" s="94"/>
      <c r="AE86" s="94"/>
      <c r="AF86" s="94"/>
      <c r="AG86" s="94"/>
      <c r="AH86" s="94"/>
      <c r="AI86" s="94"/>
      <c r="AJ86" s="94"/>
      <c r="AK86" s="50"/>
    </row>
    <row r="87" spans="1:37" ht="12.75">
      <c r="A87" s="1"/>
      <c r="C87" s="94"/>
      <c r="D87" s="94"/>
      <c r="E87" s="94"/>
      <c r="F87" s="94"/>
      <c r="G87" s="50"/>
      <c r="H87" s="50"/>
      <c r="I87" s="50"/>
      <c r="J87" s="94"/>
      <c r="K87" s="94"/>
      <c r="L87" s="192"/>
      <c r="M87" s="192"/>
      <c r="N87" s="94"/>
      <c r="O87" s="94"/>
      <c r="P87" s="94"/>
      <c r="Q87" s="94"/>
      <c r="R87" s="94"/>
      <c r="S87" s="94"/>
      <c r="T87" s="94"/>
      <c r="U87" s="94"/>
      <c r="V87" s="94"/>
      <c r="W87" s="94"/>
      <c r="X87" s="94"/>
      <c r="Y87" s="94"/>
      <c r="Z87" s="94"/>
      <c r="AA87" s="94"/>
      <c r="AB87" s="94"/>
      <c r="AC87" s="94"/>
      <c r="AD87" s="94"/>
      <c r="AE87" s="94"/>
      <c r="AF87" s="94"/>
      <c r="AG87" s="94"/>
      <c r="AH87" s="94"/>
      <c r="AI87" s="94"/>
      <c r="AJ87" s="94"/>
      <c r="AK87" s="50"/>
    </row>
    <row r="88" spans="1:37" ht="12.75">
      <c r="A88" s="1"/>
      <c r="C88" s="94"/>
      <c r="D88" s="94"/>
      <c r="E88" s="94"/>
      <c r="F88" s="94"/>
      <c r="G88" s="50"/>
      <c r="H88" s="50"/>
      <c r="I88" s="50"/>
      <c r="J88" s="94"/>
      <c r="K88" s="94"/>
      <c r="L88" s="192"/>
      <c r="M88" s="192"/>
      <c r="N88" s="94"/>
      <c r="O88" s="94"/>
      <c r="P88" s="94"/>
      <c r="Q88" s="94"/>
      <c r="R88" s="94"/>
      <c r="S88" s="94"/>
      <c r="T88" s="94"/>
      <c r="U88" s="94"/>
      <c r="V88" s="94"/>
      <c r="W88" s="94"/>
      <c r="X88" s="94"/>
      <c r="Y88" s="94"/>
      <c r="Z88" s="94"/>
      <c r="AA88" s="94"/>
      <c r="AB88" s="94"/>
      <c r="AC88" s="94"/>
      <c r="AD88" s="94"/>
      <c r="AE88" s="94"/>
      <c r="AF88" s="94"/>
      <c r="AG88" s="94"/>
      <c r="AH88" s="94"/>
      <c r="AI88" s="94"/>
      <c r="AJ88" s="94"/>
      <c r="AK88" s="50"/>
    </row>
    <row r="89" spans="1:37" ht="12.75">
      <c r="A89" s="1"/>
      <c r="C89" s="94"/>
      <c r="D89" s="94"/>
      <c r="E89" s="94"/>
      <c r="F89" s="94"/>
      <c r="G89" s="50"/>
      <c r="H89" s="50"/>
      <c r="I89" s="50"/>
      <c r="J89" s="94"/>
      <c r="K89" s="94"/>
      <c r="L89" s="192"/>
      <c r="M89" s="192"/>
      <c r="N89" s="94"/>
      <c r="O89" s="94"/>
      <c r="P89" s="94"/>
      <c r="Q89" s="94"/>
      <c r="R89" s="94"/>
      <c r="S89" s="94"/>
      <c r="T89" s="94"/>
      <c r="U89" s="94"/>
      <c r="V89" s="94"/>
      <c r="W89" s="94"/>
      <c r="X89" s="94"/>
      <c r="Y89" s="94"/>
      <c r="Z89" s="94"/>
      <c r="AA89" s="94"/>
      <c r="AB89" s="94"/>
      <c r="AC89" s="94"/>
      <c r="AD89" s="94"/>
      <c r="AE89" s="94"/>
      <c r="AF89" s="94"/>
      <c r="AG89" s="94"/>
      <c r="AH89" s="94"/>
      <c r="AI89" s="94"/>
      <c r="AJ89" s="94"/>
      <c r="AK89" s="50"/>
    </row>
    <row r="90" spans="1:37" ht="12.75">
      <c r="A90" s="1"/>
      <c r="C90" s="94"/>
      <c r="D90" s="94"/>
      <c r="E90" s="94"/>
      <c r="F90" s="94"/>
      <c r="G90" s="50"/>
      <c r="H90" s="50"/>
      <c r="I90" s="50"/>
      <c r="J90" s="94"/>
      <c r="K90" s="94"/>
      <c r="L90" s="192"/>
      <c r="M90" s="192"/>
      <c r="N90" s="94"/>
      <c r="O90" s="94"/>
      <c r="P90" s="94"/>
      <c r="Q90" s="94"/>
      <c r="R90" s="94"/>
      <c r="S90" s="94"/>
      <c r="T90" s="94"/>
      <c r="U90" s="94"/>
      <c r="V90" s="94"/>
      <c r="W90" s="94"/>
      <c r="X90" s="94"/>
      <c r="Y90" s="94"/>
      <c r="Z90" s="94"/>
      <c r="AA90" s="94"/>
      <c r="AB90" s="94"/>
      <c r="AC90" s="94"/>
      <c r="AD90" s="94"/>
      <c r="AE90" s="94"/>
      <c r="AF90" s="94"/>
      <c r="AG90" s="94"/>
      <c r="AH90" s="94"/>
      <c r="AI90" s="94"/>
      <c r="AJ90" s="94"/>
      <c r="AK90" s="50"/>
    </row>
    <row r="91" spans="1:37" ht="12.75">
      <c r="A91" s="1"/>
      <c r="C91" s="94"/>
      <c r="D91" s="94"/>
      <c r="E91" s="94"/>
      <c r="F91" s="94"/>
      <c r="G91" s="50"/>
      <c r="H91" s="50"/>
      <c r="I91" s="50"/>
      <c r="J91" s="94"/>
      <c r="K91" s="94"/>
      <c r="L91" s="192"/>
      <c r="M91" s="192"/>
      <c r="N91" s="94"/>
      <c r="O91" s="94"/>
      <c r="P91" s="94"/>
      <c r="Q91" s="94"/>
      <c r="R91" s="94"/>
      <c r="S91" s="94"/>
      <c r="T91" s="94"/>
      <c r="U91" s="94"/>
      <c r="V91" s="94"/>
      <c r="W91" s="94"/>
      <c r="X91" s="94"/>
      <c r="Y91" s="94"/>
      <c r="Z91" s="94"/>
      <c r="AA91" s="94"/>
      <c r="AB91" s="94"/>
      <c r="AC91" s="94"/>
      <c r="AD91" s="94"/>
      <c r="AE91" s="94"/>
      <c r="AF91" s="94"/>
      <c r="AG91" s="94"/>
      <c r="AH91" s="94"/>
      <c r="AI91" s="94"/>
      <c r="AJ91" s="94"/>
      <c r="AK91" s="50"/>
    </row>
    <row r="92" spans="1:37" ht="12.75">
      <c r="A92" s="1"/>
      <c r="C92" s="94"/>
      <c r="D92" s="94"/>
      <c r="E92" s="94"/>
      <c r="F92" s="94"/>
      <c r="G92" s="50"/>
      <c r="H92" s="50"/>
      <c r="I92" s="50"/>
      <c r="J92" s="94"/>
      <c r="K92" s="94"/>
      <c r="L92" s="192"/>
      <c r="M92" s="192"/>
      <c r="N92" s="94"/>
      <c r="O92" s="94"/>
      <c r="P92" s="94"/>
      <c r="Q92" s="94"/>
      <c r="R92" s="94"/>
      <c r="S92" s="94"/>
      <c r="T92" s="94"/>
      <c r="U92" s="94"/>
      <c r="V92" s="94"/>
      <c r="W92" s="94"/>
      <c r="X92" s="94"/>
      <c r="Y92" s="94"/>
      <c r="Z92" s="94"/>
      <c r="AA92" s="94"/>
      <c r="AB92" s="94"/>
      <c r="AC92" s="94"/>
      <c r="AD92" s="94"/>
      <c r="AE92" s="94"/>
      <c r="AF92" s="94"/>
      <c r="AG92" s="94"/>
      <c r="AH92" s="94"/>
      <c r="AI92" s="94"/>
      <c r="AJ92" s="94"/>
      <c r="AK92" s="50"/>
    </row>
    <row r="93" spans="1:37" ht="12.75">
      <c r="A93" s="1"/>
      <c r="C93" s="94"/>
      <c r="D93" s="94"/>
      <c r="E93" s="94"/>
      <c r="F93" s="94"/>
      <c r="G93" s="50"/>
      <c r="H93" s="50"/>
      <c r="I93" s="50"/>
      <c r="J93" s="94"/>
      <c r="K93" s="94"/>
      <c r="L93" s="192"/>
      <c r="M93" s="192"/>
      <c r="N93" s="94"/>
      <c r="O93" s="94"/>
      <c r="P93" s="94"/>
      <c r="Q93" s="94"/>
      <c r="R93" s="94"/>
      <c r="S93" s="94"/>
      <c r="T93" s="94"/>
      <c r="U93" s="94"/>
      <c r="V93" s="94"/>
      <c r="W93" s="94"/>
      <c r="X93" s="94"/>
      <c r="Y93" s="94"/>
      <c r="Z93" s="94"/>
      <c r="AA93" s="94"/>
      <c r="AB93" s="94"/>
      <c r="AC93" s="94"/>
      <c r="AD93" s="94"/>
      <c r="AE93" s="94"/>
      <c r="AF93" s="94"/>
      <c r="AG93" s="94"/>
      <c r="AH93" s="94"/>
      <c r="AI93" s="94"/>
      <c r="AJ93" s="94"/>
      <c r="AK93" s="50"/>
    </row>
    <row r="94" spans="1:37" ht="12.75">
      <c r="A94" s="1"/>
      <c r="C94" s="94"/>
      <c r="D94" s="94"/>
      <c r="E94" s="94"/>
      <c r="F94" s="94"/>
      <c r="G94" s="50"/>
      <c r="H94" s="50"/>
      <c r="I94" s="50"/>
      <c r="J94" s="94"/>
      <c r="K94" s="94"/>
      <c r="L94" s="192"/>
      <c r="M94" s="192"/>
      <c r="N94" s="94"/>
      <c r="O94" s="94"/>
      <c r="P94" s="94"/>
      <c r="Q94" s="94"/>
      <c r="R94" s="94"/>
      <c r="S94" s="94"/>
      <c r="T94" s="94"/>
      <c r="U94" s="94"/>
      <c r="V94" s="94"/>
      <c r="W94" s="94"/>
      <c r="X94" s="94"/>
      <c r="Y94" s="94"/>
      <c r="Z94" s="94"/>
      <c r="AA94" s="94"/>
      <c r="AB94" s="94"/>
      <c r="AC94" s="94"/>
      <c r="AD94" s="94"/>
      <c r="AE94" s="94"/>
      <c r="AF94" s="94"/>
      <c r="AG94" s="94"/>
      <c r="AH94" s="94"/>
      <c r="AI94" s="94"/>
      <c r="AJ94" s="94"/>
      <c r="AK94" s="50"/>
    </row>
    <row r="95" spans="1:37" ht="12.75">
      <c r="A95" s="1"/>
      <c r="C95" s="94"/>
      <c r="D95" s="94"/>
      <c r="E95" s="94"/>
      <c r="F95" s="94"/>
      <c r="G95" s="50"/>
      <c r="H95" s="50"/>
      <c r="I95" s="50"/>
      <c r="J95" s="94"/>
      <c r="K95" s="94"/>
      <c r="L95" s="192"/>
      <c r="M95" s="192"/>
      <c r="N95" s="94"/>
      <c r="O95" s="94"/>
      <c r="P95" s="94"/>
      <c r="Q95" s="94"/>
      <c r="R95" s="94"/>
      <c r="S95" s="94"/>
      <c r="T95" s="94"/>
      <c r="U95" s="94"/>
      <c r="V95" s="94"/>
      <c r="W95" s="94"/>
      <c r="X95" s="94"/>
      <c r="Y95" s="94"/>
      <c r="Z95" s="94"/>
      <c r="AA95" s="94"/>
      <c r="AB95" s="94"/>
      <c r="AC95" s="94"/>
      <c r="AD95" s="94"/>
      <c r="AE95" s="94"/>
      <c r="AF95" s="94"/>
      <c r="AG95" s="94"/>
      <c r="AH95" s="94"/>
      <c r="AI95" s="94"/>
      <c r="AJ95" s="94"/>
      <c r="AK95" s="50"/>
    </row>
    <row r="96" spans="1:37" ht="12.75">
      <c r="A96" s="1"/>
      <c r="C96" s="94"/>
      <c r="D96" s="94"/>
      <c r="E96" s="94"/>
      <c r="F96" s="94"/>
      <c r="G96" s="50"/>
      <c r="H96" s="50"/>
      <c r="I96" s="50"/>
      <c r="J96" s="94"/>
      <c r="K96" s="94"/>
      <c r="L96" s="192"/>
      <c r="M96" s="192"/>
      <c r="N96" s="94"/>
      <c r="O96" s="94"/>
      <c r="P96" s="94"/>
      <c r="Q96" s="94"/>
      <c r="R96" s="94"/>
      <c r="S96" s="94"/>
      <c r="T96" s="94"/>
      <c r="U96" s="94"/>
      <c r="V96" s="94"/>
      <c r="W96" s="94"/>
      <c r="X96" s="94"/>
      <c r="Y96" s="94"/>
      <c r="Z96" s="94"/>
      <c r="AA96" s="94"/>
      <c r="AB96" s="94"/>
      <c r="AC96" s="94"/>
      <c r="AD96" s="94"/>
      <c r="AE96" s="94"/>
      <c r="AF96" s="94"/>
      <c r="AG96" s="94"/>
      <c r="AH96" s="94"/>
      <c r="AI96" s="94"/>
      <c r="AJ96" s="94"/>
      <c r="AK96" s="50"/>
    </row>
    <row r="97" spans="1:37" ht="12.75">
      <c r="A97" s="1"/>
      <c r="C97" s="94"/>
      <c r="D97" s="94"/>
      <c r="E97" s="94"/>
      <c r="F97" s="94"/>
      <c r="G97" s="50"/>
      <c r="H97" s="50"/>
      <c r="I97" s="50"/>
      <c r="J97" s="94"/>
      <c r="K97" s="94"/>
      <c r="L97" s="192"/>
      <c r="M97" s="192"/>
      <c r="N97" s="94"/>
      <c r="O97" s="94"/>
      <c r="P97" s="94"/>
      <c r="Q97" s="94"/>
      <c r="R97" s="94"/>
      <c r="S97" s="94"/>
      <c r="T97" s="94"/>
      <c r="U97" s="94"/>
      <c r="V97" s="94"/>
      <c r="W97" s="94"/>
      <c r="X97" s="94"/>
      <c r="Y97" s="94"/>
      <c r="Z97" s="94"/>
      <c r="AA97" s="94"/>
      <c r="AB97" s="94"/>
      <c r="AC97" s="94"/>
      <c r="AD97" s="94"/>
      <c r="AE97" s="94"/>
      <c r="AF97" s="94"/>
      <c r="AG97" s="94"/>
      <c r="AH97" s="94"/>
      <c r="AI97" s="94"/>
      <c r="AJ97" s="94"/>
      <c r="AK97" s="50"/>
    </row>
    <row r="98" spans="1:37" ht="12.75">
      <c r="A98" s="1"/>
      <c r="C98" s="94"/>
      <c r="D98" s="94"/>
      <c r="E98" s="94"/>
      <c r="F98" s="94"/>
      <c r="G98" s="50"/>
      <c r="H98" s="50"/>
      <c r="I98" s="50"/>
      <c r="J98" s="94"/>
      <c r="K98" s="94"/>
      <c r="L98" s="192"/>
      <c r="M98" s="192"/>
      <c r="N98" s="94"/>
      <c r="O98" s="94"/>
      <c r="P98" s="94"/>
      <c r="Q98" s="94"/>
      <c r="R98" s="94"/>
      <c r="S98" s="94"/>
      <c r="T98" s="94"/>
      <c r="U98" s="94"/>
      <c r="V98" s="94"/>
      <c r="W98" s="94"/>
      <c r="X98" s="94"/>
      <c r="Y98" s="94"/>
      <c r="Z98" s="94"/>
      <c r="AA98" s="94"/>
      <c r="AB98" s="94"/>
      <c r="AC98" s="94"/>
      <c r="AD98" s="94"/>
      <c r="AE98" s="94"/>
      <c r="AF98" s="94"/>
      <c r="AG98" s="94"/>
      <c r="AH98" s="94"/>
      <c r="AI98" s="94"/>
      <c r="AJ98" s="94"/>
      <c r="AK98" s="50"/>
    </row>
    <row r="99" spans="1:37" ht="12.75">
      <c r="A99" s="1"/>
      <c r="C99" s="94"/>
      <c r="D99" s="94"/>
      <c r="E99" s="94"/>
      <c r="F99" s="94"/>
      <c r="G99" s="50"/>
      <c r="H99" s="50"/>
      <c r="I99" s="50"/>
      <c r="J99" s="94"/>
      <c r="K99" s="94"/>
      <c r="L99" s="192"/>
      <c r="M99" s="192"/>
      <c r="N99" s="94"/>
      <c r="O99" s="94"/>
      <c r="P99" s="94"/>
      <c r="Q99" s="94"/>
      <c r="R99" s="94"/>
      <c r="S99" s="94"/>
      <c r="T99" s="94"/>
      <c r="U99" s="94"/>
      <c r="V99" s="94"/>
      <c r="W99" s="94"/>
      <c r="X99" s="94"/>
      <c r="Y99" s="94"/>
      <c r="Z99" s="94"/>
      <c r="AA99" s="94"/>
      <c r="AB99" s="94"/>
      <c r="AC99" s="94"/>
      <c r="AD99" s="94"/>
      <c r="AE99" s="94"/>
      <c r="AF99" s="94"/>
      <c r="AG99" s="94"/>
      <c r="AH99" s="94"/>
      <c r="AI99" s="94"/>
      <c r="AJ99" s="94"/>
      <c r="AK99" s="50"/>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sheetData>
  <sheetProtection/>
  <mergeCells count="4">
    <mergeCell ref="C1:C2"/>
    <mergeCell ref="E1:E2"/>
    <mergeCell ref="G1:G2"/>
    <mergeCell ref="I1:I2"/>
  </mergeCells>
  <printOptions/>
  <pageMargins left="0.25" right="0.25" top="0.75" bottom="0.75" header="0.3" footer="0.3"/>
  <pageSetup fitToHeight="1" fitToWidth="1" horizontalDpi="600" verticalDpi="600" orientation="landscape" paperSize="9" scale="58" r:id="rId1"/>
  <headerFooter alignWithMargins="0">
    <oddFooter>&amp;CPage &amp;P of &amp;N&amp;R&amp;F&amp;A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S44"/>
  <sheetViews>
    <sheetView showGridLines="0" view="pageBreakPreview" zoomScaleSheetLayoutView="100" zoomScalePageLayoutView="0" workbookViewId="0" topLeftCell="A1">
      <selection activeCell="AG19" sqref="AG19"/>
    </sheetView>
  </sheetViews>
  <sheetFormatPr defaultColWidth="9.140625" defaultRowHeight="12.75" outlineLevelCol="1"/>
  <cols>
    <col min="1" max="1" width="39.140625" style="1" customWidth="1"/>
    <col min="2" max="7" width="6.7109375" style="218" hidden="1" customWidth="1" outlineLevel="1"/>
    <col min="8" max="9" width="6.7109375" style="219" hidden="1" customWidth="1" outlineLevel="1"/>
    <col min="10" max="10" width="6.7109375" style="218" hidden="1" customWidth="1" outlineLevel="1"/>
    <col min="11" max="12" width="7.28125" style="218" hidden="1" customWidth="1" outlineLevel="1"/>
    <col min="13" max="13" width="7.28125" style="218" customWidth="1" collapsed="1"/>
    <col min="14" max="15" width="7.28125" style="218" hidden="1" customWidth="1" outlineLevel="1"/>
    <col min="16" max="16" width="6.7109375" style="220" hidden="1" customWidth="1" outlineLevel="1"/>
    <col min="17" max="17" width="6.7109375" style="220" customWidth="1" collapsed="1"/>
    <col min="18" max="20" width="6.7109375" style="220" hidden="1" customWidth="1" outlineLevel="1"/>
    <col min="21" max="21" width="6.7109375" style="220" customWidth="1" collapsed="1"/>
    <col min="22" max="24" width="6.7109375" style="220" hidden="1" customWidth="1" outlineLevel="1"/>
    <col min="25" max="25" width="6.7109375" style="220" customWidth="1" collapsed="1"/>
    <col min="26" max="36" width="6.7109375" style="220" customWidth="1"/>
    <col min="37" max="37" width="6.7109375" style="219" customWidth="1"/>
    <col min="38" max="40" width="7.00390625" style="1" customWidth="1"/>
    <col min="41" max="45" width="7.421875" style="1" customWidth="1"/>
    <col min="46" max="16384" width="9.140625" style="1" customWidth="1"/>
  </cols>
  <sheetData>
    <row r="1" spans="1:37" ht="12.75">
      <c r="A1" s="194" t="s">
        <v>261</v>
      </c>
      <c r="B1" s="195"/>
      <c r="C1" s="195"/>
      <c r="D1" s="195"/>
      <c r="E1" s="195"/>
      <c r="F1" s="195"/>
      <c r="G1" s="195"/>
      <c r="H1" s="196"/>
      <c r="I1" s="196"/>
      <c r="J1" s="195"/>
      <c r="K1" s="195"/>
      <c r="L1" s="195"/>
      <c r="M1" s="195"/>
      <c r="N1" s="195"/>
      <c r="O1" s="195"/>
      <c r="P1" s="197"/>
      <c r="Q1" s="197"/>
      <c r="R1" s="197"/>
      <c r="S1" s="197"/>
      <c r="T1" s="197"/>
      <c r="U1" s="197"/>
      <c r="V1" s="197"/>
      <c r="W1" s="197"/>
      <c r="X1" s="197"/>
      <c r="Y1" s="197"/>
      <c r="Z1" s="197"/>
      <c r="AA1" s="197"/>
      <c r="AB1" s="197"/>
      <c r="AC1" s="197"/>
      <c r="AD1" s="197"/>
      <c r="AE1" s="197"/>
      <c r="AF1" s="197"/>
      <c r="AG1" s="197"/>
      <c r="AH1" s="197"/>
      <c r="AI1" s="197"/>
      <c r="AJ1" s="197"/>
      <c r="AK1" s="196"/>
    </row>
    <row r="3" spans="1:45" ht="12.75">
      <c r="A3" s="198"/>
      <c r="B3" s="3" t="s">
        <v>6</v>
      </c>
      <c r="C3" s="4" t="s">
        <v>20</v>
      </c>
      <c r="D3" s="4" t="s">
        <v>21</v>
      </c>
      <c r="E3" s="4" t="s">
        <v>22</v>
      </c>
      <c r="F3" s="3" t="s">
        <v>0</v>
      </c>
      <c r="G3" s="3" t="s">
        <v>19</v>
      </c>
      <c r="H3" s="4" t="s">
        <v>18</v>
      </c>
      <c r="I3" s="4" t="s">
        <v>136</v>
      </c>
      <c r="J3" s="3" t="s">
        <v>160</v>
      </c>
      <c r="K3" s="3" t="s">
        <v>163</v>
      </c>
      <c r="L3" s="3" t="s">
        <v>164</v>
      </c>
      <c r="M3" s="3" t="s">
        <v>165</v>
      </c>
      <c r="N3" s="3" t="s">
        <v>172</v>
      </c>
      <c r="O3" s="3" t="s">
        <v>181</v>
      </c>
      <c r="P3" s="3" t="s">
        <v>183</v>
      </c>
      <c r="Q3" s="3" t="s">
        <v>185</v>
      </c>
      <c r="R3" s="3" t="s">
        <v>187</v>
      </c>
      <c r="S3" s="3" t="s">
        <v>202</v>
      </c>
      <c r="T3" s="3" t="s">
        <v>205</v>
      </c>
      <c r="U3" s="3" t="s">
        <v>206</v>
      </c>
      <c r="V3" s="3" t="s">
        <v>210</v>
      </c>
      <c r="W3" s="3" t="s">
        <v>211</v>
      </c>
      <c r="X3" s="3" t="s">
        <v>213</v>
      </c>
      <c r="Y3" s="3" t="s">
        <v>218</v>
      </c>
      <c r="Z3" s="3" t="s">
        <v>225</v>
      </c>
      <c r="AA3" s="3" t="s">
        <v>231</v>
      </c>
      <c r="AB3" s="3" t="s">
        <v>241</v>
      </c>
      <c r="AC3" s="3" t="s">
        <v>244</v>
      </c>
      <c r="AD3" s="3" t="s">
        <v>245</v>
      </c>
      <c r="AE3" s="3" t="s">
        <v>247</v>
      </c>
      <c r="AF3" s="3" t="s">
        <v>252</v>
      </c>
      <c r="AG3" s="3" t="s">
        <v>259</v>
      </c>
      <c r="AH3" s="3" t="s">
        <v>266</v>
      </c>
      <c r="AI3" s="3" t="s">
        <v>269</v>
      </c>
      <c r="AJ3" s="199"/>
      <c r="AK3" s="4">
        <v>2005</v>
      </c>
      <c r="AL3" s="4">
        <v>2006</v>
      </c>
      <c r="AM3" s="4">
        <v>2007</v>
      </c>
      <c r="AN3" s="4">
        <v>2008</v>
      </c>
      <c r="AO3" s="3">
        <v>2009</v>
      </c>
      <c r="AP3" s="3">
        <v>2010</v>
      </c>
      <c r="AQ3" s="3">
        <v>2011</v>
      </c>
      <c r="AR3" s="3">
        <v>2012</v>
      </c>
      <c r="AS3" s="3">
        <v>2013</v>
      </c>
    </row>
    <row r="4" spans="1:45" ht="12.75">
      <c r="A4" s="7" t="s">
        <v>155</v>
      </c>
      <c r="B4" s="30">
        <v>2290.45494</v>
      </c>
      <c r="C4" s="30">
        <v>4591.19801</v>
      </c>
      <c r="D4" s="30">
        <v>6808.61852</v>
      </c>
      <c r="E4" s="30">
        <v>9125.24921</v>
      </c>
      <c r="F4" s="30">
        <v>2341.08014</v>
      </c>
      <c r="G4" s="30">
        <v>4542.725820000001</v>
      </c>
      <c r="H4" s="30">
        <v>6773.97087</v>
      </c>
      <c r="I4" s="30">
        <v>9177</v>
      </c>
      <c r="J4" s="30">
        <v>2873</v>
      </c>
      <c r="K4" s="30">
        <v>5892</v>
      </c>
      <c r="L4" s="30">
        <v>8744</v>
      </c>
      <c r="M4" s="30">
        <v>10499.6</v>
      </c>
      <c r="N4" s="30">
        <v>2135.1805470000004</v>
      </c>
      <c r="O4" s="30">
        <v>4788.0343920000005</v>
      </c>
      <c r="P4" s="30">
        <v>7728</v>
      </c>
      <c r="Q4" s="30">
        <v>10614</v>
      </c>
      <c r="R4" s="30">
        <v>2716.043941</v>
      </c>
      <c r="S4" s="30">
        <v>5596.000268</v>
      </c>
      <c r="T4" s="30">
        <v>8557.862063</v>
      </c>
      <c r="U4" s="30">
        <v>11547</v>
      </c>
      <c r="V4" s="30">
        <v>2905.642659</v>
      </c>
      <c r="W4" s="30">
        <v>5902.061178</v>
      </c>
      <c r="X4" s="30">
        <v>8797.07065322</v>
      </c>
      <c r="Y4" s="30">
        <v>11968.388174197</v>
      </c>
      <c r="Z4" s="30">
        <v>3635</v>
      </c>
      <c r="AA4" s="30">
        <v>7477.283834928</v>
      </c>
      <c r="AB4" s="30">
        <v>11248.861972508</v>
      </c>
      <c r="AC4" s="30">
        <v>14923</v>
      </c>
      <c r="AD4" s="30">
        <v>3695.7203916000008</v>
      </c>
      <c r="AE4" s="30">
        <v>7477.6868786350005</v>
      </c>
      <c r="AF4" s="30">
        <v>11375.430052057</v>
      </c>
      <c r="AG4" s="30">
        <v>15429.128323690002</v>
      </c>
      <c r="AH4" s="30">
        <v>3908.7</v>
      </c>
      <c r="AI4" s="30">
        <v>7682.25652505856</v>
      </c>
      <c r="AJ4" s="30"/>
      <c r="AK4" s="30">
        <v>8468</v>
      </c>
      <c r="AL4" s="30">
        <v>9125.24921</v>
      </c>
      <c r="AM4" s="30">
        <v>9177</v>
      </c>
      <c r="AN4" s="30">
        <v>10499</v>
      </c>
      <c r="AO4" s="30">
        <v>10614</v>
      </c>
      <c r="AP4" s="30">
        <v>11547</v>
      </c>
      <c r="AQ4" s="30">
        <f>Y4</f>
        <v>11968.388174197</v>
      </c>
      <c r="AR4" s="30">
        <f>AC4</f>
        <v>14923</v>
      </c>
      <c r="AS4" s="30">
        <f>AG4</f>
        <v>15429.128323690002</v>
      </c>
    </row>
    <row r="5" spans="1:45" ht="12.75">
      <c r="A5" s="7" t="s">
        <v>4</v>
      </c>
      <c r="B5" s="27">
        <v>0.40849128043658084</v>
      </c>
      <c r="C5" s="27">
        <v>0.4167129231683114</v>
      </c>
      <c r="D5" s="27">
        <v>0.4432030234092982</v>
      </c>
      <c r="E5" s="27">
        <v>0.4475414866122196</v>
      </c>
      <c r="F5" s="27">
        <v>0.4148635043761563</v>
      </c>
      <c r="G5" s="27">
        <v>0.4287891730826618</v>
      </c>
      <c r="H5" s="27">
        <v>0.4387553856177116</v>
      </c>
      <c r="I5" s="27">
        <v>0.4321839145979025</v>
      </c>
      <c r="J5" s="27">
        <v>0.36316131664159507</v>
      </c>
      <c r="K5" s="27">
        <v>0.3797118982612053</v>
      </c>
      <c r="L5" s="19">
        <v>0.41699254358479515</v>
      </c>
      <c r="M5" s="19">
        <v>0.3879035387041303</v>
      </c>
      <c r="N5" s="19">
        <f>'P&amp;L'!N55/'P&amp;L'!N3</f>
        <v>0.15132766216715662</v>
      </c>
      <c r="O5" s="19">
        <f>'P&amp;L'!O55/'P&amp;L'!O3</f>
        <v>0.16522153023225422</v>
      </c>
      <c r="P5" s="19">
        <f>'P&amp;L'!P55/'P&amp;L'!P3</f>
        <v>0.20651136294540232</v>
      </c>
      <c r="Q5" s="19">
        <f>'P&amp;L'!Q55/'P&amp;L'!Q3</f>
        <v>0.23024823714412054</v>
      </c>
      <c r="R5" s="19">
        <f>'P&amp;L'!R55/'P&amp;L'!R3</f>
        <v>0.22825816728936835</v>
      </c>
      <c r="S5" s="19">
        <f>'P&amp;L'!S55/'P&amp;L'!S3</f>
        <v>0.29509556910645063</v>
      </c>
      <c r="T5" s="19">
        <f>'P&amp;L'!T55/'P&amp;L'!T3</f>
        <v>0.2987192660333338</v>
      </c>
      <c r="U5" s="19">
        <f>'P&amp;L'!U55/'P&amp;L'!U3</f>
        <v>0.2780813167874303</v>
      </c>
      <c r="V5" s="19">
        <f>'P&amp;L'!V55/'P&amp;L'!V3</f>
        <v>0.24903916183880642</v>
      </c>
      <c r="W5" s="19">
        <f>'P&amp;L'!W55/'P&amp;L'!W3</f>
        <v>0.2642043981206277</v>
      </c>
      <c r="X5" s="19">
        <f>'P&amp;L'!X55/'P&amp;L'!X3</f>
        <v>0.2171106164908208</v>
      </c>
      <c r="Y5" s="19">
        <f>'P&amp;L'!Y55/'P&amp;L'!Y3</f>
        <v>0.19221343190073867</v>
      </c>
      <c r="Z5" s="19">
        <f>'P&amp;L'!Z55/'P&amp;L'!Z3</f>
        <v>0.13966172441886657</v>
      </c>
      <c r="AA5" s="19">
        <f>'P&amp;L'!AA55/'P&amp;L'!AA3</f>
        <v>0.16185823659478635</v>
      </c>
      <c r="AB5" s="19">
        <f>'P&amp;L'!AB55/'P&amp;L'!AB3</f>
        <v>0.1615337772377162</v>
      </c>
      <c r="AC5" s="19">
        <f>'P&amp;L'!AC55/'P&amp;L'!AC3</f>
        <v>0.15633411074419543</v>
      </c>
      <c r="AD5" s="19">
        <f>'P&amp;L'!AD55/'P&amp;L'!AD3</f>
        <v>0.11138019106232812</v>
      </c>
      <c r="AE5" s="19">
        <f>'P&amp;L'!AE55/'P&amp;L'!AE3</f>
        <v>0.12625364466359332</v>
      </c>
      <c r="AF5" s="19">
        <f>'P&amp;L'!AF55/'P&amp;L'!AF3</f>
        <v>0.13043562065160164</v>
      </c>
      <c r="AG5" s="19">
        <f>'P&amp;L'!AG55/'P&amp;L'!AG3</f>
        <v>0.13798432587111237</v>
      </c>
      <c r="AH5" s="19">
        <f>'P&amp;L'!AH55/'P&amp;L'!AH3</f>
        <v>0.1774819368503417</v>
      </c>
      <c r="AI5" s="19">
        <f>'P&amp;L'!AI55/'P&amp;L'!AI3</f>
        <v>0.19511334793360066</v>
      </c>
      <c r="AJ5" s="27"/>
      <c r="AK5" s="27">
        <v>0.47747820630073634</v>
      </c>
      <c r="AL5" s="27">
        <v>0.4475414866122196</v>
      </c>
      <c r="AM5" s="27">
        <v>0.4321839145979025</v>
      </c>
      <c r="AN5" s="27">
        <v>0.3879035387041303</v>
      </c>
      <c r="AO5" s="19">
        <f aca="true" t="shared" si="0" ref="AO5:AO13">Q5</f>
        <v>0.23024823714412054</v>
      </c>
      <c r="AP5" s="19">
        <f>U5</f>
        <v>0.2780813167874303</v>
      </c>
      <c r="AQ5" s="19">
        <f>Y5</f>
        <v>0.19221343190073867</v>
      </c>
      <c r="AR5" s="19">
        <f>AC5</f>
        <v>0.15633411074419543</v>
      </c>
      <c r="AS5" s="19">
        <f aca="true" t="shared" si="1" ref="AS5:AS13">AG5</f>
        <v>0.13798432587111237</v>
      </c>
    </row>
    <row r="6" spans="1:45" ht="12.75">
      <c r="A6" s="7" t="s">
        <v>5</v>
      </c>
      <c r="B6" s="27">
        <v>0.34634328571073664</v>
      </c>
      <c r="C6" s="27">
        <v>0.36260284777447543</v>
      </c>
      <c r="D6" s="27">
        <v>0.39114564323060824</v>
      </c>
      <c r="E6" s="27">
        <v>0.37106916158378994</v>
      </c>
      <c r="F6" s="27">
        <v>0.3657630190507643</v>
      </c>
      <c r="G6" s="27">
        <v>0.3835119707825736</v>
      </c>
      <c r="H6" s="27">
        <v>0.3933817648975567</v>
      </c>
      <c r="I6" s="27">
        <v>0.3884372723573502</v>
      </c>
      <c r="J6" s="27">
        <v>0.32993039443155453</v>
      </c>
      <c r="K6" s="27">
        <v>0.35177618661720955</v>
      </c>
      <c r="L6" s="19">
        <v>0.3921652816054794</v>
      </c>
      <c r="M6" s="19">
        <v>0.3471610981803815</v>
      </c>
      <c r="N6" s="19">
        <f>'P&amp;L'!N17/'P&amp;L'!N3</f>
        <v>0.07661718700466859</v>
      </c>
      <c r="O6" s="19">
        <f>'P&amp;L'!O17/'P&amp;L'!O3</f>
        <v>0.07909526532704936</v>
      </c>
      <c r="P6" s="19">
        <f>'P&amp;L'!P17/'P&amp;L'!P3</f>
        <v>0.125896954475854</v>
      </c>
      <c r="Q6" s="19">
        <f>'P&amp;L'!Q17/'P&amp;L'!Q3</f>
        <v>0.1452664907136034</v>
      </c>
      <c r="R6" s="19">
        <f>'P&amp;L'!R17/'P&amp;L'!R3</f>
        <v>0.15579913776140805</v>
      </c>
      <c r="S6" s="19">
        <f>'P&amp;L'!S17/'P&amp;L'!S3</f>
        <v>0.23127936575166982</v>
      </c>
      <c r="T6" s="19">
        <f>'P&amp;L'!T17/'P&amp;L'!T3</f>
        <v>0.24002060271148512</v>
      </c>
      <c r="U6" s="19">
        <f>'P&amp;L'!U17/'P&amp;L'!U3</f>
        <v>0.21490170700876138</v>
      </c>
      <c r="V6" s="19">
        <f>'P&amp;L'!V17/'P&amp;L'!V3</f>
        <v>0.1964531442490879</v>
      </c>
      <c r="W6" s="19">
        <f>'P&amp;L'!W17/'P&amp;L'!W3</f>
        <v>0.21578069870786132</v>
      </c>
      <c r="X6" s="19">
        <f>'P&amp;L'!X17/'P&amp;L'!X3</f>
        <v>0.1640867783108862</v>
      </c>
      <c r="Y6" s="19">
        <f>'P&amp;L'!Y17/'P&amp;L'!Y3</f>
        <v>0.14201910277786967</v>
      </c>
      <c r="Z6" s="19">
        <f>'P&amp;L'!Z17/'P&amp;L'!Z3</f>
        <v>0.08243144501527143</v>
      </c>
      <c r="AA6" s="19">
        <f>'P&amp;L'!AA17/'P&amp;L'!AA3</f>
        <v>0.10706411289078269</v>
      </c>
      <c r="AB6" s="19">
        <f>'P&amp;L'!AB17/'P&amp;L'!AB3</f>
        <v>0.10068907741627721</v>
      </c>
      <c r="AC6" s="19">
        <f>'P&amp;L'!AC17/'P&amp;L'!AC3</f>
        <v>0.09318195428455607</v>
      </c>
      <c r="AD6" s="19">
        <f>'P&amp;L'!AD17/'P&amp;L'!AD3</f>
        <v>0.038809491627979614</v>
      </c>
      <c r="AE6" s="19">
        <f>'P&amp;L'!AE17/'P&amp;L'!AE3</f>
        <v>0.05115668816877466</v>
      </c>
      <c r="AF6" s="19">
        <f>'P&amp;L'!AF17/'P&amp;L'!AF3</f>
        <v>0.05233266009691035</v>
      </c>
      <c r="AG6" s="19">
        <f>'P&amp;L'!AG17/'P&amp;L'!AG3</f>
        <v>0.05901456738117312</v>
      </c>
      <c r="AH6" s="19">
        <f>'P&amp;L'!AH17/'P&amp;L'!AH3</f>
        <v>0.10195998300117255</v>
      </c>
      <c r="AI6" s="19">
        <f>'P&amp;L'!AI17/'P&amp;L'!AI3</f>
        <v>0.11956733900487677</v>
      </c>
      <c r="AJ6" s="27"/>
      <c r="AK6" s="27">
        <v>0.4214135635812008</v>
      </c>
      <c r="AL6" s="27">
        <v>0.37106916158378994</v>
      </c>
      <c r="AM6" s="27">
        <v>0.3884372723573502</v>
      </c>
      <c r="AN6" s="27">
        <v>0.3471610981803815</v>
      </c>
      <c r="AO6" s="19">
        <f t="shared" si="0"/>
        <v>0.1452664907136034</v>
      </c>
      <c r="AP6" s="19">
        <f aca="true" t="shared" si="2" ref="AP6:AP19">U6</f>
        <v>0.21490170700876138</v>
      </c>
      <c r="AQ6" s="19">
        <f aca="true" t="shared" si="3" ref="AQ6:AQ13">Y6</f>
        <v>0.14201910277786967</v>
      </c>
      <c r="AR6" s="19">
        <f aca="true" t="shared" si="4" ref="AR6:AR19">AC6</f>
        <v>0.09318195428455607</v>
      </c>
      <c r="AS6" s="19">
        <f t="shared" si="1"/>
        <v>0.05901456738117312</v>
      </c>
    </row>
    <row r="7" spans="1:45" ht="12.75">
      <c r="A7" s="200" t="s">
        <v>13</v>
      </c>
      <c r="B7" s="201">
        <v>0.5022989320110526</v>
      </c>
      <c r="C7" s="201">
        <v>0.3712787447604923</v>
      </c>
      <c r="D7" s="201">
        <v>0.39316993094924485</v>
      </c>
      <c r="E7" s="201">
        <v>0.3417286053964644</v>
      </c>
      <c r="F7" s="201">
        <v>0.26089925184239665</v>
      </c>
      <c r="G7" s="201">
        <v>0.29508359334888484</v>
      </c>
      <c r="H7" s="201">
        <v>0.29887565847758846</v>
      </c>
      <c r="I7" s="201">
        <v>0.29113424547363986</v>
      </c>
      <c r="J7" s="201">
        <v>0.26249713163866295</v>
      </c>
      <c r="K7" s="201">
        <v>0.2601828535376884</v>
      </c>
      <c r="L7" s="16">
        <v>0.2862449528713355</v>
      </c>
      <c r="M7" s="16">
        <v>0.1947864802647072</v>
      </c>
      <c r="N7" s="16">
        <f>'P&amp;L'!N50/'P&amp;L'!N3</f>
        <v>-0.19459285593887388</v>
      </c>
      <c r="O7" s="16">
        <f>'P&amp;L'!O50/'P&amp;L'!O3</f>
        <v>-0.12380459667450423</v>
      </c>
      <c r="P7" s="16">
        <f>'P&amp;L'!P50/'P&amp;L'!P3</f>
        <v>-0.040492392374132755</v>
      </c>
      <c r="Q7" s="16">
        <f>'P&amp;L'!Q50/'P&amp;L'!Q3</f>
        <v>0.01597682045051259</v>
      </c>
      <c r="R7" s="16">
        <f>'P&amp;L'!R50/'P&amp;L'!R3</f>
        <v>0.06358980159557734</v>
      </c>
      <c r="S7" s="16">
        <f>'P&amp;L'!S50/'P&amp;L'!S3</f>
        <v>0.1454597407612724</v>
      </c>
      <c r="T7" s="16">
        <f>'P&amp;L'!T50/'P&amp;L'!T3</f>
        <v>0.17778549119454312</v>
      </c>
      <c r="U7" s="16">
        <f>'P&amp;L'!U50/'P&amp;L'!U3</f>
        <v>0.14657106165818917</v>
      </c>
      <c r="V7" s="16">
        <f>'P&amp;L'!V50/'P&amp;L'!V3</f>
        <v>0.16147549809697662</v>
      </c>
      <c r="W7" s="16">
        <f>'P&amp;L'!W50/'P&amp;L'!W3</f>
        <v>0.18194488260475983</v>
      </c>
      <c r="X7" s="16">
        <f>'P&amp;L'!X50/'P&amp;L'!X3</f>
        <v>0.13738765713476833</v>
      </c>
      <c r="Y7" s="16">
        <f>'P&amp;L'!Y50/'P&amp;L'!Y3</f>
        <v>0.11215378943494834</v>
      </c>
      <c r="Z7" s="16">
        <f>'P&amp;L'!Z50/'P&amp;L'!Z3</f>
        <v>0.05611146282843423</v>
      </c>
      <c r="AA7" s="16">
        <f>'P&amp;L'!AA50/'P&amp;L'!AA3</f>
        <v>0.07073039938382904</v>
      </c>
      <c r="AB7" s="16">
        <f>'P&amp;L'!AB50/'P&amp;L'!AB3</f>
        <v>0.06582360328025397</v>
      </c>
      <c r="AC7" s="16">
        <f>'P&amp;L'!AC50/'P&amp;L'!AC3</f>
        <v>0.05021415541460962</v>
      </c>
      <c r="AD7" s="16">
        <f>'P&amp;L'!AD50/'P&amp;L'!AD3</f>
        <v>0.012397131193750872</v>
      </c>
      <c r="AE7" s="16">
        <f>'P&amp;L'!AE53/'P&amp;L'!AE3</f>
        <v>0.012593966182024912</v>
      </c>
      <c r="AF7" s="16">
        <f>'P&amp;L'!AF53/'P&amp;L'!AF3</f>
        <v>0.024899475589478474</v>
      </c>
      <c r="AG7" s="16">
        <f>'P&amp;L'!AG53/'P&amp;L'!AG3</f>
        <v>0.01730060987537218</v>
      </c>
      <c r="AH7" s="16">
        <f>'P&amp;L'!AH53/'P&amp;L'!AH3</f>
        <v>0.06591973930076589</v>
      </c>
      <c r="AI7" s="16">
        <f>'P&amp;L'!AI53/'P&amp;L'!AI3</f>
        <v>0.061015211294709035</v>
      </c>
      <c r="AJ7" s="45"/>
      <c r="AK7" s="201">
        <v>0.315689269588277</v>
      </c>
      <c r="AL7" s="201">
        <v>0.3417286053964644</v>
      </c>
      <c r="AM7" s="201">
        <v>0.29113424547363986</v>
      </c>
      <c r="AN7" s="201">
        <v>0.1947864802647072</v>
      </c>
      <c r="AO7" s="16">
        <f t="shared" si="0"/>
        <v>0.01597682045051259</v>
      </c>
      <c r="AP7" s="16">
        <f t="shared" si="2"/>
        <v>0.14657106165818917</v>
      </c>
      <c r="AQ7" s="16">
        <f t="shared" si="3"/>
        <v>0.11215378943494834</v>
      </c>
      <c r="AR7" s="16">
        <f t="shared" si="4"/>
        <v>0.05021415541460962</v>
      </c>
      <c r="AS7" s="16">
        <f t="shared" si="1"/>
        <v>0.01730060987537218</v>
      </c>
    </row>
    <row r="8" spans="1:45" ht="12.75">
      <c r="A8" s="7" t="s">
        <v>191</v>
      </c>
      <c r="B8" s="202">
        <v>159.4</v>
      </c>
      <c r="C8" s="202">
        <v>163.4</v>
      </c>
      <c r="D8" s="202">
        <v>167.2</v>
      </c>
      <c r="E8" s="202">
        <v>169.2</v>
      </c>
      <c r="F8" s="202">
        <v>196.5</v>
      </c>
      <c r="G8" s="202">
        <v>203</v>
      </c>
      <c r="H8" s="202">
        <v>213</v>
      </c>
      <c r="I8" s="202">
        <v>221</v>
      </c>
      <c r="J8" s="202">
        <v>282</v>
      </c>
      <c r="K8" s="202">
        <v>309</v>
      </c>
      <c r="L8" s="22">
        <v>329</v>
      </c>
      <c r="M8" s="22">
        <v>347</v>
      </c>
      <c r="N8" s="22">
        <v>243</v>
      </c>
      <c r="O8" s="22">
        <v>220</v>
      </c>
      <c r="P8" s="22">
        <v>213</v>
      </c>
      <c r="Q8" s="22">
        <v>240</v>
      </c>
      <c r="R8" s="22">
        <v>286</v>
      </c>
      <c r="S8" s="22">
        <v>325</v>
      </c>
      <c r="T8" s="22">
        <v>330</v>
      </c>
      <c r="U8" s="22">
        <v>318</v>
      </c>
      <c r="V8" s="22">
        <v>361</v>
      </c>
      <c r="W8" s="22">
        <v>406</v>
      </c>
      <c r="X8" s="22">
        <v>405</v>
      </c>
      <c r="Y8" s="22">
        <v>405</v>
      </c>
      <c r="Z8" s="22">
        <v>395</v>
      </c>
      <c r="AA8" s="22">
        <v>403.1</v>
      </c>
      <c r="AB8" s="22">
        <v>396</v>
      </c>
      <c r="AC8" s="22">
        <v>388</v>
      </c>
      <c r="AD8" s="22">
        <v>364</v>
      </c>
      <c r="AE8" s="22">
        <f>'Steel segment'!AE49</f>
        <v>356</v>
      </c>
      <c r="AF8" s="22">
        <f>'Steel segment'!AF49</f>
        <v>347</v>
      </c>
      <c r="AG8" s="22">
        <f>'Steel segment'!AG49</f>
        <v>348</v>
      </c>
      <c r="AH8" s="22">
        <f>'Steel segment'!AH49</f>
        <v>309.6</v>
      </c>
      <c r="AI8" s="22">
        <v>309</v>
      </c>
      <c r="AJ8" s="202"/>
      <c r="AK8" s="202">
        <v>173</v>
      </c>
      <c r="AL8" s="202">
        <v>169.2</v>
      </c>
      <c r="AM8" s="202">
        <v>221</v>
      </c>
      <c r="AN8" s="202">
        <v>347</v>
      </c>
      <c r="AO8" s="22">
        <f t="shared" si="0"/>
        <v>240</v>
      </c>
      <c r="AP8" s="22">
        <f t="shared" si="2"/>
        <v>318</v>
      </c>
      <c r="AQ8" s="22">
        <f t="shared" si="3"/>
        <v>405</v>
      </c>
      <c r="AR8" s="22">
        <f t="shared" si="4"/>
        <v>388</v>
      </c>
      <c r="AS8" s="22">
        <f t="shared" si="1"/>
        <v>348</v>
      </c>
    </row>
    <row r="9" spans="1:45" s="48" customFormat="1" ht="12.75">
      <c r="A9" s="216" t="s">
        <v>158</v>
      </c>
      <c r="B9" s="22">
        <v>164.3380943350931</v>
      </c>
      <c r="C9" s="22">
        <v>200.76045467705714</v>
      </c>
      <c r="D9" s="22">
        <v>246.165208856495</v>
      </c>
      <c r="E9" s="22">
        <v>245.8393133572294</v>
      </c>
      <c r="F9" s="22">
        <v>273.4404470237401</v>
      </c>
      <c r="G9" s="22">
        <v>304.69041162603116</v>
      </c>
      <c r="H9" s="22">
        <v>322.0446384942898</v>
      </c>
      <c r="I9" s="22">
        <v>326.72670807453414</v>
      </c>
      <c r="J9" s="22">
        <v>270.2443438914027</v>
      </c>
      <c r="K9" s="22">
        <v>351.275627970129</v>
      </c>
      <c r="L9" s="22">
        <v>432.34549405306495</v>
      </c>
      <c r="M9" s="38">
        <v>386.8071164615795</v>
      </c>
      <c r="N9" s="38">
        <f>'P&amp;L'!N17/N4</f>
        <v>46.40872180070493</v>
      </c>
      <c r="O9" s="38">
        <f>'P&amp;L'!O17/O4</f>
        <v>42.72337733032724</v>
      </c>
      <c r="P9" s="38">
        <f>'P&amp;L'!P17/P4</f>
        <v>70.46402691511388</v>
      </c>
      <c r="Q9" s="38">
        <f>'P&amp;L'!Q17/Q4</f>
        <v>84.03250423968343</v>
      </c>
      <c r="R9" s="38">
        <f>'P&amp;L'!R17/R4</f>
        <v>97.36955872025784</v>
      </c>
      <c r="S9" s="38">
        <f>'P&amp;L'!S17/S4</f>
        <v>159.24749058643184</v>
      </c>
      <c r="T9" s="38">
        <f>'P&amp;L'!T17/T4</f>
        <v>170.65453839390773</v>
      </c>
      <c r="U9" s="38">
        <f>'P&amp;L'!U17/U4</f>
        <v>155.41612540053694</v>
      </c>
      <c r="V9" s="38">
        <f>'P&amp;L'!V17/V4</f>
        <v>159.48588810968445</v>
      </c>
      <c r="W9" s="38">
        <f>'P&amp;L'!W17/W4</f>
        <v>195.27347569625616</v>
      </c>
      <c r="X9" s="38">
        <f>'P&amp;L'!X17/X4</f>
        <v>161.81204586312663</v>
      </c>
      <c r="Y9" s="38">
        <f>'P&amp;L'!Y17/Y4</f>
        <v>139.17320993908658</v>
      </c>
      <c r="Z9" s="38">
        <f>'P&amp;L'!Z17/Z4</f>
        <v>70.17083906464924</v>
      </c>
      <c r="AA9" s="38">
        <f>'P&amp;L'!AA17/AA4</f>
        <v>90.94425395803475</v>
      </c>
      <c r="AB9" s="38">
        <f>'P&amp;L'!AB17/AB4</f>
        <v>83.72509168498735</v>
      </c>
      <c r="AC9" s="38">
        <f>'P&amp;L'!AC17/AC4</f>
        <v>75.907994371105</v>
      </c>
      <c r="AD9" s="38">
        <f>'P&amp;L'!AD17/AD4</f>
        <v>29.989552308099988</v>
      </c>
      <c r="AE9" s="38">
        <f>'P&amp;L'!AE17/Multiples!AE4</f>
        <v>38.89264216598067</v>
      </c>
      <c r="AF9" s="38">
        <f>'P&amp;L'!AF17/Multiples!AF4</f>
        <v>38.66570300966025</v>
      </c>
      <c r="AG9" s="38">
        <f>'P&amp;L'!AG17/Multiples!AG4</f>
        <v>41.727308665356034</v>
      </c>
      <c r="AH9" s="38">
        <f>'P&amp;L'!AH17/Multiples!AH4</f>
        <v>68.8088111136695</v>
      </c>
      <c r="AI9" s="38">
        <f>'P&amp;L'!AI17/Multiples!AI4</f>
        <v>84.76233485252385</v>
      </c>
      <c r="AJ9" s="22"/>
      <c r="AK9" s="22">
        <v>217.7638167217761</v>
      </c>
      <c r="AL9" s="22">
        <v>245.8393133572294</v>
      </c>
      <c r="AM9" s="22">
        <v>326.72670807453414</v>
      </c>
      <c r="AN9" s="38">
        <v>386.8071164615795</v>
      </c>
      <c r="AO9" s="38">
        <f t="shared" si="0"/>
        <v>84.03250423968343</v>
      </c>
      <c r="AP9" s="38">
        <f t="shared" si="2"/>
        <v>155.41612540053694</v>
      </c>
      <c r="AQ9" s="38">
        <f t="shared" si="3"/>
        <v>139.17320993908658</v>
      </c>
      <c r="AR9" s="38">
        <f t="shared" si="4"/>
        <v>75.907994371105</v>
      </c>
      <c r="AS9" s="38">
        <f t="shared" si="1"/>
        <v>41.727308665356034</v>
      </c>
    </row>
    <row r="10" spans="1:45" ht="12.75">
      <c r="A10" s="203" t="s">
        <v>203</v>
      </c>
      <c r="B10" s="25">
        <v>193.8269957845143</v>
      </c>
      <c r="C10" s="25">
        <v>230.71930195404488</v>
      </c>
      <c r="D10" s="25">
        <v>278.9272147384166</v>
      </c>
      <c r="E10" s="25">
        <v>296.5034639311511</v>
      </c>
      <c r="F10" s="25">
        <v>310.1474347648774</v>
      </c>
      <c r="G10" s="25">
        <v>340.66198606721105</v>
      </c>
      <c r="H10" s="25">
        <v>359.1900595226504</v>
      </c>
      <c r="I10" s="25">
        <v>363.5233736515201</v>
      </c>
      <c r="J10" s="25">
        <v>297.4636268708667</v>
      </c>
      <c r="K10" s="25">
        <v>379.1715885947047</v>
      </c>
      <c r="L10" s="25">
        <v>459.7164913083257</v>
      </c>
      <c r="M10" s="52">
        <f>'P&amp;L'!M55/Multiples!M4</f>
        <v>446.56015467255895</v>
      </c>
      <c r="N10" s="52">
        <f>'P&amp;L'!N55/Multiples!N4</f>
        <v>91.66250614028283</v>
      </c>
      <c r="O10" s="52">
        <f>'P&amp;L'!O55/Multiples!O4</f>
        <v>89.24455528430548</v>
      </c>
      <c r="P10" s="52">
        <f>'P&amp;L'!P55/Multiples!P4</f>
        <v>115.58359213250517</v>
      </c>
      <c r="Q10" s="52">
        <f>'P&amp;L'!Q55/Multiples!Q4</f>
        <v>133.192010552101</v>
      </c>
      <c r="R10" s="52">
        <f>'P&amp;L'!R55/Multiples!R4</f>
        <v>142.65417217710618</v>
      </c>
      <c r="S10" s="52">
        <f>'P&amp;L'!S55/Multiples!S4</f>
        <v>203.1881603905599</v>
      </c>
      <c r="T10" s="52">
        <f>'P&amp;L'!T55/Multiples!T4</f>
        <v>212.38926108173706</v>
      </c>
      <c r="U10" s="52">
        <f>'P&amp;L'!U55/Multiples!U4</f>
        <v>201.10738720013856</v>
      </c>
      <c r="V10" s="52">
        <f>'P&amp;L'!V55/Multiples!V4</f>
        <v>202.1766159649434</v>
      </c>
      <c r="W10" s="52">
        <f>'P&amp;L'!W55/Multiples!W4</f>
        <v>239.09511566232024</v>
      </c>
      <c r="X10" s="52">
        <f>'P&amp;L'!X55/Multiples!X4</f>
        <v>214.10081540161272</v>
      </c>
      <c r="Y10" s="52">
        <f>'P&amp;L'!Y55/Multiples!Y4</f>
        <v>188.36170478329714</v>
      </c>
      <c r="Z10" s="52">
        <f>'P&amp;L'!Z55/Multiples!Z4</f>
        <v>118.8888583218707</v>
      </c>
      <c r="AA10" s="52">
        <f>'P&amp;L'!AA55/Multiples!AA4</f>
        <v>137.4884279767212</v>
      </c>
      <c r="AB10" s="52">
        <f>'P&amp;L'!AB55/Multiples!AB4</f>
        <v>134.31874297086148</v>
      </c>
      <c r="AC10" s="52">
        <f>'P&amp;L'!AC55/Multiples!AC4</f>
        <v>127.35307913958319</v>
      </c>
      <c r="AD10" s="52">
        <f>'P&amp;L'!AD55/Multiples!AD4</f>
        <v>86.06765834422113</v>
      </c>
      <c r="AE10" s="52">
        <f>'P&amp;L'!AE55/Multiples!AE4</f>
        <v>95.98623366414898</v>
      </c>
      <c r="AF10" s="52">
        <f>'P&amp;L'!AF55/Multiples!AF4</f>
        <v>96.3716532019608</v>
      </c>
      <c r="AG10" s="52">
        <f>'P&amp;L'!AG55/Multiples!AG4</f>
        <v>97.56429322638414</v>
      </c>
      <c r="AH10" s="52">
        <f>'P&amp;L'!AH55/Multiples!AH4</f>
        <v>119.77562872566327</v>
      </c>
      <c r="AI10" s="52">
        <f>'P&amp;L'!AI55/Multiples!AI4</f>
        <v>138.31756288454585</v>
      </c>
      <c r="AJ10" s="22"/>
      <c r="AK10" s="25">
        <v>246.73500236183278</v>
      </c>
      <c r="AL10" s="25">
        <v>296.5034639311511</v>
      </c>
      <c r="AM10" s="25">
        <v>363.5233736515201</v>
      </c>
      <c r="AN10" s="52">
        <f>'P&amp;L'!AN55/Multiples!AN4</f>
        <v>432.22706924469</v>
      </c>
      <c r="AO10" s="52">
        <f>'P&amp;L'!AO55/Multiples!AO4</f>
        <v>133.192010552101</v>
      </c>
      <c r="AP10" s="52">
        <f>'P&amp;L'!AP55/Multiples!AP4</f>
        <v>201.10738720013856</v>
      </c>
      <c r="AQ10" s="52">
        <f>Y10</f>
        <v>188.36170478329714</v>
      </c>
      <c r="AR10" s="52">
        <f>AC10</f>
        <v>127.35307913958319</v>
      </c>
      <c r="AS10" s="52">
        <f>AG10</f>
        <v>97.56429322638414</v>
      </c>
    </row>
    <row r="11" spans="1:45" ht="12.75">
      <c r="A11" s="7"/>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row>
    <row r="12" spans="1:45" ht="12.75">
      <c r="A12" s="204" t="s">
        <v>264</v>
      </c>
      <c r="B12" s="205">
        <v>0</v>
      </c>
      <c r="C12" s="205">
        <v>0.02712153558961927</v>
      </c>
      <c r="D12" s="205">
        <v>0.02092728256401911</v>
      </c>
      <c r="E12" s="205">
        <v>0.04360636304707493</v>
      </c>
      <c r="F12" s="205">
        <v>0.020233464716194655</v>
      </c>
      <c r="G12" s="205">
        <v>0.011786830853340565</v>
      </c>
      <c r="H12" s="205">
        <v>0.008599359246808646</v>
      </c>
      <c r="I12" s="205">
        <v>0.17903458265338795</v>
      </c>
      <c r="J12" s="205">
        <v>0.20941753102853206</v>
      </c>
      <c r="K12" s="205">
        <v>0.15892539880725604</v>
      </c>
      <c r="L12" s="205">
        <v>0.31641922382885435</v>
      </c>
      <c r="M12" s="205">
        <f>('Balance Sheet'!M29+'Balance Sheet'!M34)/'Balance Sheet'!M42</f>
        <v>0.3463278177402014</v>
      </c>
      <c r="N12" s="205">
        <f>('Balance Sheet'!N29+'Balance Sheet'!N34)/'Balance Sheet'!N42</f>
        <v>0.37466983227961603</v>
      </c>
      <c r="O12" s="205">
        <f>('Balance Sheet'!O29+'Balance Sheet'!O34)/'Balance Sheet'!O42</f>
        <v>0.34944518704624017</v>
      </c>
      <c r="P12" s="205">
        <f>('Balance Sheet'!P29+'Balance Sheet'!P34)/'Balance Sheet'!P42</f>
        <v>0.298097617217525</v>
      </c>
      <c r="Q12" s="205">
        <f>('Balance Sheet'!Q29+'Balance Sheet'!Q34)/'Balance Sheet'!Q42</f>
        <v>0.2862075230649622</v>
      </c>
      <c r="R12" s="205">
        <f>('Balance Sheet'!R29+'Balance Sheet'!R34)/'Balance Sheet'!R42</f>
        <v>0.28022620206724674</v>
      </c>
      <c r="S12" s="205">
        <f>('Balance Sheet'!S29+'Balance Sheet'!S34)/'Balance Sheet'!S42</f>
        <v>0.26547374010934643</v>
      </c>
      <c r="T12" s="205">
        <f>('Balance Sheet'!T29+'Balance Sheet'!T34)/'Balance Sheet'!T42</f>
        <v>0.27764913172547684</v>
      </c>
      <c r="U12" s="205">
        <f>('Balance Sheet'!U29+'Balance Sheet'!U34)/'Balance Sheet'!U42</f>
        <v>0.2712719668861611</v>
      </c>
      <c r="V12" s="205">
        <f>('Balance Sheet'!V29+'Balance Sheet'!V34)/'Balance Sheet'!V42</f>
        <v>0.24453535990682101</v>
      </c>
      <c r="W12" s="205">
        <f>('Balance Sheet'!W29+'Balance Sheet'!W34)/'Balance Sheet'!W42</f>
        <v>0.22900814988841914</v>
      </c>
      <c r="X12" s="205">
        <f>('Balance Sheet'!X29+'Balance Sheet'!X34)/'Balance Sheet'!X42</f>
        <v>0.37868232385465345</v>
      </c>
      <c r="Y12" s="205">
        <f>('Balance Sheet'!Y29+'Balance Sheet'!Y34)/'Balance Sheet'!Y42</f>
        <v>0.43163374798364523</v>
      </c>
      <c r="Z12" s="205">
        <f>('Balance Sheet'!Z29+'Balance Sheet'!Z34)/'Balance Sheet'!Z42</f>
        <v>0.3996161450578341</v>
      </c>
      <c r="AA12" s="205">
        <f>('Balance Sheet'!AA29+'Balance Sheet'!AA34)/'Balance Sheet'!AA42</f>
        <v>0.4242742805566531</v>
      </c>
      <c r="AB12" s="205">
        <f>('Balance Sheet'!AB29+'Balance Sheet'!AB34)/'Balance Sheet'!AB42</f>
        <v>0.48190603307957525</v>
      </c>
      <c r="AC12" s="205">
        <f>('Balance Sheet'!AC29+'Balance Sheet'!AC34)/'Balance Sheet'!AC42</f>
        <v>0.4164033722778878</v>
      </c>
      <c r="AD12" s="205">
        <f>('Balance Sheet'!AD29+'Balance Sheet'!AD34)/'Balance Sheet'!AD42</f>
        <v>0.4541749488005192</v>
      </c>
      <c r="AE12" s="205">
        <f>('Balance Sheet'!AE29+'Balance Sheet'!AE34)/'Balance Sheet'!AE42</f>
        <v>0.46509743754101585</v>
      </c>
      <c r="AF12" s="205">
        <f>('Balance Sheet'!AF29+'Balance Sheet'!AF34)/'Balance Sheet'!AF42</f>
        <v>0.3967945295747607</v>
      </c>
      <c r="AG12" s="205">
        <f>('Balance Sheet'!AG29+'Balance Sheet'!AG34)/'Balance Sheet'!AG42</f>
        <v>0.4057214422677547</v>
      </c>
      <c r="AH12" s="205">
        <f>('Balance Sheet'!AH29+'Balance Sheet'!AH34)/'Balance Sheet'!AH42</f>
        <v>0.4055614530202211</v>
      </c>
      <c r="AI12" s="205">
        <f>('Balance Sheet'!AI29+'Balance Sheet'!AI34)/'Balance Sheet'!AI42</f>
        <v>0.3757553123290733</v>
      </c>
      <c r="AJ12" s="205"/>
      <c r="AK12" s="205">
        <v>0.009897985619247332</v>
      </c>
      <c r="AL12" s="205">
        <v>0.04360636304707493</v>
      </c>
      <c r="AM12" s="205">
        <v>0.17903458265338795</v>
      </c>
      <c r="AN12" s="205">
        <v>0.3463278177402014</v>
      </c>
      <c r="AO12" s="205">
        <f t="shared" si="0"/>
        <v>0.2862075230649622</v>
      </c>
      <c r="AP12" s="205">
        <f t="shared" si="2"/>
        <v>0.2712719668861611</v>
      </c>
      <c r="AQ12" s="205">
        <f t="shared" si="3"/>
        <v>0.43163374798364523</v>
      </c>
      <c r="AR12" s="205">
        <f t="shared" si="4"/>
        <v>0.4164033722778878</v>
      </c>
      <c r="AS12" s="205">
        <f t="shared" si="1"/>
        <v>0.4057214422677547</v>
      </c>
    </row>
    <row r="13" spans="1:45" ht="12.75">
      <c r="A13" s="204" t="s">
        <v>10</v>
      </c>
      <c r="B13" s="206" t="s">
        <v>141</v>
      </c>
      <c r="C13" s="206" t="s">
        <v>141</v>
      </c>
      <c r="D13" s="206" t="s">
        <v>141</v>
      </c>
      <c r="E13" s="206" t="s">
        <v>141</v>
      </c>
      <c r="F13" s="206" t="s">
        <v>141</v>
      </c>
      <c r="G13" s="206" t="s">
        <v>141</v>
      </c>
      <c r="H13" s="206" t="s">
        <v>141</v>
      </c>
      <c r="I13" s="324">
        <v>0.0904337879422815</v>
      </c>
      <c r="J13" s="324">
        <v>0.21808701716449433</v>
      </c>
      <c r="K13" s="324">
        <v>0.040085646031317604</v>
      </c>
      <c r="L13" s="325">
        <v>0.10959588144668303</v>
      </c>
      <c r="M13" s="325">
        <v>0.18543607336525375</v>
      </c>
      <c r="N13" s="325">
        <v>0.23584372446032764</v>
      </c>
      <c r="O13" s="325">
        <v>0.26931855411959493</v>
      </c>
      <c r="P13" s="325">
        <v>0.5300797573547655</v>
      </c>
      <c r="Q13" s="325">
        <v>0.5513294452687868</v>
      </c>
      <c r="R13" s="325">
        <v>0.5842655851138379</v>
      </c>
      <c r="S13" s="325">
        <v>0.4363095473577391</v>
      </c>
      <c r="T13" s="325">
        <v>0.48161532525505657</v>
      </c>
      <c r="U13" s="325">
        <v>0.6189928358966454</v>
      </c>
      <c r="V13" s="325">
        <v>0.5434293920521107</v>
      </c>
      <c r="W13" s="325">
        <v>0.5748670538834059</v>
      </c>
      <c r="X13" s="326">
        <v>1.225701043939052</v>
      </c>
      <c r="Y13" s="326">
        <v>1.4701996853093078</v>
      </c>
      <c r="Z13" s="325">
        <v>1.6864768389785707</v>
      </c>
      <c r="AA13" s="325">
        <v>1.90445269314135</v>
      </c>
      <c r="AB13" s="325">
        <v>1.8439213564884511</v>
      </c>
      <c r="AC13" s="326">
        <v>1.88034138564265</v>
      </c>
      <c r="AD13" s="326">
        <v>1.9327120130809763</v>
      </c>
      <c r="AE13" s="326">
        <v>2.153195342738829</v>
      </c>
      <c r="AF13" s="326">
        <v>1.8656935603495968</v>
      </c>
      <c r="AG13" s="326">
        <f>'Balance Sheet'!AG51/'P&amp;L'!AG55</f>
        <v>1.7951880382533554</v>
      </c>
      <c r="AH13" s="326">
        <f>'Balance Sheet'!AH51/('P&amp;L'!AG55+'P&amp;L'!AH55-'P&amp;L'!AD55)</f>
        <v>1.390132516459599</v>
      </c>
      <c r="AI13" s="326">
        <f>'Balance Sheet'!AI51/('P&amp;L'!AI55+'P&amp;L'!AG55-'P&amp;L'!AE55)</f>
        <v>1.1364735526719736</v>
      </c>
      <c r="AJ13" s="206"/>
      <c r="AK13" s="206" t="s">
        <v>141</v>
      </c>
      <c r="AL13" s="206" t="s">
        <v>141</v>
      </c>
      <c r="AM13" s="324">
        <v>0.0904337879422815</v>
      </c>
      <c r="AN13" s="324">
        <v>0.18543607336525375</v>
      </c>
      <c r="AO13" s="325">
        <f t="shared" si="0"/>
        <v>0.5513294452687868</v>
      </c>
      <c r="AP13" s="325">
        <f t="shared" si="2"/>
        <v>0.6189928358966454</v>
      </c>
      <c r="AQ13" s="325">
        <f t="shared" si="3"/>
        <v>1.4701996853093078</v>
      </c>
      <c r="AR13" s="325">
        <f t="shared" si="4"/>
        <v>1.88034138564265</v>
      </c>
      <c r="AS13" s="325">
        <f t="shared" si="1"/>
        <v>1.7951880382533554</v>
      </c>
    </row>
    <row r="14" spans="1:45" ht="12.75">
      <c r="A14" s="204"/>
      <c r="B14" s="207"/>
      <c r="C14" s="207"/>
      <c r="D14" s="207"/>
      <c r="E14" s="207"/>
      <c r="F14" s="207"/>
      <c r="G14" s="207"/>
      <c r="H14" s="207"/>
      <c r="I14" s="207"/>
      <c r="J14" s="207"/>
      <c r="K14" s="207"/>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7"/>
      <c r="AK14" s="207"/>
      <c r="AL14" s="207"/>
      <c r="AM14" s="207"/>
      <c r="AN14" s="207"/>
      <c r="AO14" s="207"/>
      <c r="AP14" s="207"/>
      <c r="AQ14" s="207"/>
      <c r="AR14" s="207"/>
      <c r="AS14" s="207"/>
    </row>
    <row r="15" spans="1:45" ht="12.75">
      <c r="A15" s="209" t="s">
        <v>262</v>
      </c>
      <c r="B15" s="3" t="s">
        <v>6</v>
      </c>
      <c r="C15" s="4" t="s">
        <v>20</v>
      </c>
      <c r="D15" s="4" t="s">
        <v>21</v>
      </c>
      <c r="E15" s="4" t="s">
        <v>22</v>
      </c>
      <c r="F15" s="3" t="s">
        <v>0</v>
      </c>
      <c r="G15" s="3" t="s">
        <v>19</v>
      </c>
      <c r="H15" s="4" t="s">
        <v>18</v>
      </c>
      <c r="I15" s="4" t="s">
        <v>136</v>
      </c>
      <c r="J15" s="3" t="s">
        <v>160</v>
      </c>
      <c r="K15" s="3" t="s">
        <v>163</v>
      </c>
      <c r="L15" s="3" t="s">
        <v>164</v>
      </c>
      <c r="M15" s="3" t="s">
        <v>165</v>
      </c>
      <c r="N15" s="3" t="s">
        <v>172</v>
      </c>
      <c r="O15" s="3" t="s">
        <v>181</v>
      </c>
      <c r="P15" s="3" t="s">
        <v>183</v>
      </c>
      <c r="Q15" s="3" t="s">
        <v>185</v>
      </c>
      <c r="R15" s="3" t="s">
        <v>187</v>
      </c>
      <c r="S15" s="3" t="s">
        <v>202</v>
      </c>
      <c r="T15" s="3" t="s">
        <v>205</v>
      </c>
      <c r="U15" s="3" t="s">
        <v>206</v>
      </c>
      <c r="V15" s="3" t="s">
        <v>210</v>
      </c>
      <c r="W15" s="3" t="s">
        <v>211</v>
      </c>
      <c r="X15" s="3" t="s">
        <v>213</v>
      </c>
      <c r="Y15" s="3" t="s">
        <v>218</v>
      </c>
      <c r="Z15" s="3" t="s">
        <v>225</v>
      </c>
      <c r="AA15" s="3" t="s">
        <v>231</v>
      </c>
      <c r="AB15" s="3" t="s">
        <v>241</v>
      </c>
      <c r="AC15" s="3" t="s">
        <v>244</v>
      </c>
      <c r="AD15" s="3" t="s">
        <v>245</v>
      </c>
      <c r="AE15" s="3" t="s">
        <v>247</v>
      </c>
      <c r="AF15" s="3" t="s">
        <v>252</v>
      </c>
      <c r="AG15" s="3" t="s">
        <v>259</v>
      </c>
      <c r="AH15" s="3" t="s">
        <v>266</v>
      </c>
      <c r="AI15" s="3" t="s">
        <v>269</v>
      </c>
      <c r="AJ15" s="199"/>
      <c r="AK15" s="4">
        <v>2005</v>
      </c>
      <c r="AL15" s="4">
        <v>2006</v>
      </c>
      <c r="AM15" s="4">
        <v>2007</v>
      </c>
      <c r="AN15" s="4">
        <v>2008</v>
      </c>
      <c r="AO15" s="4">
        <v>2009</v>
      </c>
      <c r="AP15" s="3">
        <v>2010</v>
      </c>
      <c r="AQ15" s="3">
        <v>2011</v>
      </c>
      <c r="AR15" s="3">
        <v>2012</v>
      </c>
      <c r="AS15" s="3">
        <v>2013</v>
      </c>
    </row>
    <row r="16" spans="1:45" ht="12.75">
      <c r="A16" s="210" t="s">
        <v>147</v>
      </c>
      <c r="B16" s="211">
        <v>0.9593367262343284</v>
      </c>
      <c r="C16" s="211">
        <v>1.0021645700188735</v>
      </c>
      <c r="D16" s="211">
        <v>1.0771420374175567</v>
      </c>
      <c r="E16" s="211">
        <v>1.1857346159963058</v>
      </c>
      <c r="F16" s="211">
        <v>1.260789837830344</v>
      </c>
      <c r="G16" s="211">
        <v>1.3043443351899335</v>
      </c>
      <c r="H16" s="211">
        <v>1.3898059703806591</v>
      </c>
      <c r="I16" s="211">
        <v>1.7688843715527127</v>
      </c>
      <c r="J16" s="211">
        <v>2.0272067975183266</v>
      </c>
      <c r="K16" s="211">
        <v>2.050545308540645</v>
      </c>
      <c r="L16" s="211">
        <v>2.31641241756086</v>
      </c>
      <c r="M16" s="211">
        <f>'Balance Sheet'!M23/5993227.24</f>
        <v>2.3467369810593066</v>
      </c>
      <c r="N16" s="211">
        <f>'Balance Sheet'!N23/5993227.24</f>
        <v>1.968422775839883</v>
      </c>
      <c r="O16" s="211">
        <f>'Balance Sheet'!O23/5993227.24</f>
        <v>2.058898570980933</v>
      </c>
      <c r="P16" s="211">
        <f>'Balance Sheet'!P23/5993227.24</f>
        <v>2.077369253898005</v>
      </c>
      <c r="Q16" s="211">
        <f>'Balance Sheet'!Q23/5993227.24</f>
        <v>2.08601200978323</v>
      </c>
      <c r="R16" s="211">
        <f>'Balance Sheet'!R23/5993227.24</f>
        <v>2.1739512750395895</v>
      </c>
      <c r="S16" s="211">
        <f>'Balance Sheet'!S23/5993227.24</f>
        <v>2.146271196618268</v>
      </c>
      <c r="T16" s="211">
        <f>'Balance Sheet'!T23/5993227.24</f>
        <v>2.3159825990512584</v>
      </c>
      <c r="U16" s="211">
        <f>'Balance Sheet'!U23/5993227.24</f>
        <v>2.3191219760924664</v>
      </c>
      <c r="V16" s="211">
        <f>'Balance Sheet'!V23/5993227.24</f>
        <v>2.527933681353287</v>
      </c>
      <c r="W16" s="211">
        <f>'Balance Sheet'!W23/5993227.24</f>
        <v>2.6614267007169246</v>
      </c>
      <c r="X16" s="211">
        <f>'Balance Sheet'!X23/5993227.24</f>
        <v>2.8505700377881884</v>
      </c>
      <c r="Y16" s="211">
        <f>'Balance Sheet'!Y23/5993227.24</f>
        <v>2.8794462997868906</v>
      </c>
      <c r="Z16" s="211">
        <f>'Balance Sheet'!Z23/5993227.24</f>
        <v>3.104923984160494</v>
      </c>
      <c r="AA16" s="211">
        <f>'Balance Sheet'!AA23/5993227.24</f>
        <v>2.853687056257857</v>
      </c>
      <c r="AB16" s="211">
        <f>'Balance Sheet'!AB23/5993227.24</f>
        <v>3.1616601942829052</v>
      </c>
      <c r="AC16" s="211">
        <f>'Balance Sheet'!AC23/5993227.24</f>
        <v>3.0797297117003692</v>
      </c>
      <c r="AD16" s="211">
        <f>'Balance Sheet'!AD23/5993227.24</f>
        <v>3.0885363192068787</v>
      </c>
      <c r="AE16" s="211">
        <f>'Balance Sheet'!AE23/5993227.24</f>
        <v>2.942958992490997</v>
      </c>
      <c r="AF16" s="211">
        <f>'Balance Sheet'!AF23/5993227.24</f>
        <v>2.7206417088900503</v>
      </c>
      <c r="AG16" s="211">
        <f>'Balance Sheet'!AG23/5993227.24</f>
        <v>2.717080522379792</v>
      </c>
      <c r="AH16" s="211">
        <f>'Balance Sheet'!AH23/5993227.24</f>
        <v>2.537238184214086</v>
      </c>
      <c r="AI16" s="211">
        <f>'Balance Sheet'!AI23/5993227.24</f>
        <v>2.646888957275713</v>
      </c>
      <c r="AJ16" s="51"/>
      <c r="AK16" s="211">
        <v>1.0362552179816895</v>
      </c>
      <c r="AL16" s="211">
        <v>1.4544734666192967</v>
      </c>
      <c r="AM16" s="211">
        <v>2.1817864526691966</v>
      </c>
      <c r="AN16" s="211">
        <f>M16</f>
        <v>2.3467369810593066</v>
      </c>
      <c r="AO16" s="211">
        <f>Q16</f>
        <v>2.08601200978323</v>
      </c>
      <c r="AP16" s="211">
        <f t="shared" si="2"/>
        <v>2.3191219760924664</v>
      </c>
      <c r="AQ16" s="211">
        <f>Y16</f>
        <v>2.8794462997868906</v>
      </c>
      <c r="AR16" s="211">
        <f t="shared" si="4"/>
        <v>3.0797297117003692</v>
      </c>
      <c r="AS16" s="211">
        <f>AG16</f>
        <v>2.717080522379792</v>
      </c>
    </row>
    <row r="17" spans="1:45" ht="12.75">
      <c r="A17" s="7" t="s">
        <v>11</v>
      </c>
      <c r="B17" s="214">
        <v>0.09108665133811945</v>
      </c>
      <c r="C17" s="214">
        <v>0.15747525702028944</v>
      </c>
      <c r="D17" s="214">
        <v>0.28110380810456304</v>
      </c>
      <c r="E17" s="214">
        <v>0.34471628010554123</v>
      </c>
      <c r="F17" s="214">
        <v>0.0761888347821098</v>
      </c>
      <c r="G17" s="214">
        <v>0.17769725013797408</v>
      </c>
      <c r="H17" s="214">
        <v>0.27655083540600073</v>
      </c>
      <c r="I17" s="214">
        <v>0.37497043078913855</v>
      </c>
      <c r="J17" s="214">
        <v>0.10307034511843405</v>
      </c>
      <c r="K17" s="214">
        <v>0.25542432127102194</v>
      </c>
      <c r="L17" s="214">
        <v>0.4604145462036577</v>
      </c>
      <c r="M17" s="214">
        <v>0.380219355740631</v>
      </c>
      <c r="N17" s="214">
        <f>'P&amp;L'!N60</f>
        <v>-0.0323</v>
      </c>
      <c r="O17" s="214">
        <f>'P&amp;L'!O60</f>
        <v>-0.04053258624647111</v>
      </c>
      <c r="P17" s="214">
        <f>'P&amp;L'!P60</f>
        <v>-0.013202069074223857</v>
      </c>
      <c r="Q17" s="214">
        <f>'P&amp;L'!Q60</f>
        <v>0.035883004496255345</v>
      </c>
      <c r="R17" s="214">
        <f>'P&amp;L'!R60</f>
        <v>0.021949943616688228</v>
      </c>
      <c r="S17" s="214">
        <f>'P&amp;L'!S60</f>
        <v>0.09845530235559699</v>
      </c>
      <c r="T17" s="214">
        <f>'P&amp;L'!T60</f>
        <v>0.18462440279504572</v>
      </c>
      <c r="U17" s="214">
        <f>'P&amp;L'!U60</f>
        <v>0.20941021418703956</v>
      </c>
      <c r="V17" s="214">
        <f>'P&amp;L'!V60</f>
        <v>0.06546973513388757</v>
      </c>
      <c r="W17" s="214">
        <f>'P&amp;L'!W60</f>
        <v>0.16341863252960856</v>
      </c>
      <c r="X17" s="214">
        <f>'P&amp;L'!X60</f>
        <v>0.2009206312023637</v>
      </c>
      <c r="Y17" s="214">
        <f>'P&amp;L'!Y60</f>
        <v>0.22652136247048094</v>
      </c>
      <c r="Z17" s="214">
        <f>'P&amp;L'!Z60</f>
        <v>0.028849898906886766</v>
      </c>
      <c r="AA17" s="214">
        <f>'P&amp;L'!AA60</f>
        <v>0.0752</v>
      </c>
      <c r="AB17" s="214">
        <f>'P&amp;L'!AB60</f>
        <v>0.103</v>
      </c>
      <c r="AC17" s="214">
        <f>'P&amp;L'!AC60</f>
        <v>0.0994</v>
      </c>
      <c r="AD17" s="214">
        <f>'P&amp;L'!AD60</f>
        <v>0.006323471225496199</v>
      </c>
      <c r="AE17" s="214">
        <f>'P&amp;L'!AE60</f>
        <v>0.011946318257740549</v>
      </c>
      <c r="AF17" s="214">
        <f>'P&amp;L'!AF60</f>
        <v>0.03491808196480132</v>
      </c>
      <c r="AG17" s="214">
        <f>'P&amp;L'!AG60</f>
        <v>0.03149221486886254</v>
      </c>
      <c r="AH17" s="214">
        <f>'P&amp;L'!AH60</f>
        <v>0.029013583673159704</v>
      </c>
      <c r="AI17" s="214">
        <f>'P&amp;L'!AI60</f>
        <v>0.05544425176843453</v>
      </c>
      <c r="AJ17" s="214"/>
      <c r="AK17" s="214">
        <v>0.23049267859898467</v>
      </c>
      <c r="AL17" s="214">
        <v>0.34471628010554123</v>
      </c>
      <c r="AM17" s="214">
        <v>0.37497043078913855</v>
      </c>
      <c r="AN17" s="214">
        <v>0.380219355740631</v>
      </c>
      <c r="AO17" s="214">
        <f>Q17</f>
        <v>0.035883004496255345</v>
      </c>
      <c r="AP17" s="214">
        <f t="shared" si="2"/>
        <v>0.20941021418703956</v>
      </c>
      <c r="AQ17" s="214">
        <f>Y17</f>
        <v>0.22652136247048094</v>
      </c>
      <c r="AR17" s="214">
        <f t="shared" si="4"/>
        <v>0.0994</v>
      </c>
      <c r="AS17" s="214">
        <f>AG17</f>
        <v>0.03149221486886254</v>
      </c>
    </row>
    <row r="18" spans="1:45" ht="12.75">
      <c r="A18" s="7" t="s">
        <v>12</v>
      </c>
      <c r="B18" s="214">
        <v>0.026545130633157835</v>
      </c>
      <c r="C18" s="214">
        <v>0.08806223739982867</v>
      </c>
      <c r="D18" s="214">
        <v>0.17177506521511438</v>
      </c>
      <c r="E18" s="214">
        <v>0.26448004330968766</v>
      </c>
      <c r="F18" s="214">
        <v>0.07663817532805581</v>
      </c>
      <c r="G18" s="214">
        <v>0.22807695174261405</v>
      </c>
      <c r="H18" s="214">
        <v>0.3302127419416855</v>
      </c>
      <c r="I18" s="214">
        <v>0.421125864067854</v>
      </c>
      <c r="J18" s="214">
        <v>0.04172476530357624</v>
      </c>
      <c r="K18" s="214">
        <v>0.19758386468256123</v>
      </c>
      <c r="L18" s="214">
        <v>0.3150322729962096</v>
      </c>
      <c r="M18" s="214">
        <v>0.46398407546449044</v>
      </c>
      <c r="N18" s="214">
        <f>CashFlow!N29/5993227.24</f>
        <v>0.0637658117565387</v>
      </c>
      <c r="O18" s="214">
        <f>CashFlow!O29/5993227.24</f>
        <v>0.15470212672930453</v>
      </c>
      <c r="P18" s="214">
        <f>CashFlow!P29/5993227.24</f>
        <v>0.20874396212615492</v>
      </c>
      <c r="Q18" s="214">
        <f>CashFlow!Q29/5993227.24</f>
        <v>0.23263910146680838</v>
      </c>
      <c r="R18" s="214">
        <f>CashFlow!R29/5993227.24</f>
        <v>0.017139346780383383</v>
      </c>
      <c r="S18" s="214">
        <f>CashFlow!S29/5993227.24</f>
        <v>0.07486734309109894</v>
      </c>
      <c r="T18" s="214">
        <f>CashFlow!T29/5993227.24</f>
        <v>0.16796359618761927</v>
      </c>
      <c r="U18" s="214">
        <f>CashFlow!U29/5993227.24</f>
        <v>0.23878570638012384</v>
      </c>
      <c r="V18" s="214">
        <f>CashFlow!V29/5993227.24</f>
        <v>0.09048480531167044</v>
      </c>
      <c r="W18" s="214">
        <f>CashFlow!W29/5993227.24</f>
        <v>0.1379096715178115</v>
      </c>
      <c r="X18" s="214">
        <f>CashFlow!X29/5993227.24</f>
        <v>0.24777118245895177</v>
      </c>
      <c r="Y18" s="214">
        <f>CashFlow!Y29/5993227.24</f>
        <v>0.30119248406806615</v>
      </c>
      <c r="Z18" s="214">
        <f>CashFlow!Z29/5993227.24</f>
        <v>0.08381277396716898</v>
      </c>
      <c r="AA18" s="214">
        <f>CashFlow!AA29/5993227.24</f>
        <v>0.13461044737559458</v>
      </c>
      <c r="AB18" s="214">
        <f>CashFlow!AB29/5993227.24</f>
        <v>0.24880918748543898</v>
      </c>
      <c r="AC18" s="214">
        <f>CashFlow!AC29/5993227.24</f>
        <v>0.30445316470262856</v>
      </c>
      <c r="AD18" s="214">
        <f>CashFlow!AD29/5993227.24</f>
        <v>0.04183422219111452</v>
      </c>
      <c r="AE18" s="214">
        <f>CashFlow!AE29/5993227.24</f>
        <v>0.09686300498093578</v>
      </c>
      <c r="AF18" s="214">
        <f>CashFlow!AF29/5993227.24</f>
        <v>0.17182562228359624</v>
      </c>
      <c r="AG18" s="214">
        <f>CashFlow!AG29/5993227.24</f>
        <v>0.20331299835712552</v>
      </c>
      <c r="AH18" s="214">
        <f>CashFlow!AH29/5993227.24</f>
        <v>0.07280151119382551</v>
      </c>
      <c r="AI18" s="214">
        <f>CashFlow!AI29/5993227.24</f>
        <v>0.17788245920072937</v>
      </c>
      <c r="AJ18" s="214"/>
      <c r="AK18" s="214">
        <v>0.25424782658499695</v>
      </c>
      <c r="AL18" s="214">
        <v>0.26448004330968766</v>
      </c>
      <c r="AM18" s="214">
        <v>0.421125864067854</v>
      </c>
      <c r="AN18" s="214">
        <v>0.46398407546449044</v>
      </c>
      <c r="AO18" s="214">
        <f>Q18</f>
        <v>0.23263910146680838</v>
      </c>
      <c r="AP18" s="214">
        <f t="shared" si="2"/>
        <v>0.23878570638012384</v>
      </c>
      <c r="AQ18" s="214">
        <f>Y18</f>
        <v>0.30119248406806615</v>
      </c>
      <c r="AR18" s="214">
        <f t="shared" si="4"/>
        <v>0.30445316470262856</v>
      </c>
      <c r="AS18" s="214">
        <f>AG18</f>
        <v>0.20331299835712552</v>
      </c>
    </row>
    <row r="19" spans="1:45" ht="12.75">
      <c r="A19" s="7" t="s">
        <v>148</v>
      </c>
      <c r="B19" s="207">
        <v>0</v>
      </c>
      <c r="C19" s="207">
        <v>0.0561</v>
      </c>
      <c r="D19" s="207">
        <v>0.0561</v>
      </c>
      <c r="E19" s="207">
        <v>0.114</v>
      </c>
      <c r="F19" s="207">
        <v>0</v>
      </c>
      <c r="G19" s="207">
        <v>0.0601</v>
      </c>
      <c r="H19" s="207">
        <v>0.0601</v>
      </c>
      <c r="I19" s="207">
        <v>0.1231</v>
      </c>
      <c r="J19" s="207">
        <v>0</v>
      </c>
      <c r="K19" s="208">
        <v>0.0786</v>
      </c>
      <c r="L19" s="208">
        <v>0.0786</v>
      </c>
      <c r="M19" s="208">
        <v>0.0786</v>
      </c>
      <c r="N19" s="208" t="s">
        <v>141</v>
      </c>
      <c r="O19" s="208" t="s">
        <v>141</v>
      </c>
      <c r="P19" s="208" t="s">
        <v>141</v>
      </c>
      <c r="Q19" s="208">
        <v>0.0071</v>
      </c>
      <c r="R19" s="208" t="s">
        <v>141</v>
      </c>
      <c r="S19" s="208" t="s">
        <v>141</v>
      </c>
      <c r="T19" s="208" t="s">
        <v>141</v>
      </c>
      <c r="U19" s="322">
        <f>379/5993.22724</f>
        <v>0.06323804935519181</v>
      </c>
      <c r="V19" s="208" t="s">
        <v>141</v>
      </c>
      <c r="W19" s="208" t="s">
        <v>141</v>
      </c>
      <c r="X19" s="208" t="s">
        <v>141</v>
      </c>
      <c r="Y19" s="322">
        <f>375.8/5993.22724</f>
        <v>0.06270411331841974</v>
      </c>
      <c r="Z19" s="208" t="s">
        <v>141</v>
      </c>
      <c r="AA19" s="208" t="s">
        <v>141</v>
      </c>
      <c r="AB19" s="208" t="s">
        <v>141</v>
      </c>
      <c r="AC19" s="322">
        <f>116/5993.22724</f>
        <v>0.019355181332987467</v>
      </c>
      <c r="AD19" s="208" t="s">
        <v>141</v>
      </c>
      <c r="AE19" s="208" t="s">
        <v>141</v>
      </c>
      <c r="AF19" s="208" t="s">
        <v>141</v>
      </c>
      <c r="AG19" s="322">
        <f>115/5993.22724</f>
        <v>0.019188326321496196</v>
      </c>
      <c r="AH19" s="208" t="s">
        <v>141</v>
      </c>
      <c r="AI19" s="208" t="s">
        <v>141</v>
      </c>
      <c r="AJ19" s="215"/>
      <c r="AK19" s="207">
        <v>0.1101</v>
      </c>
      <c r="AL19" s="323">
        <v>0.114</v>
      </c>
      <c r="AM19" s="207">
        <v>0.1231</v>
      </c>
      <c r="AN19" s="208">
        <v>0.0786</v>
      </c>
      <c r="AO19" s="208">
        <f>Q19</f>
        <v>0.0071</v>
      </c>
      <c r="AP19" s="322">
        <f t="shared" si="2"/>
        <v>0.06323804935519181</v>
      </c>
      <c r="AQ19" s="322">
        <f>Y19</f>
        <v>0.06270411331841974</v>
      </c>
      <c r="AR19" s="322">
        <f t="shared" si="4"/>
        <v>0.019355181332987467</v>
      </c>
      <c r="AS19" s="322">
        <f>AG19</f>
        <v>0.019188326321496196</v>
      </c>
    </row>
    <row r="20" spans="1:37" ht="12.75">
      <c r="A20" s="222"/>
      <c r="B20" s="223"/>
      <c r="C20" s="224"/>
      <c r="D20" s="225"/>
      <c r="E20" s="225"/>
      <c r="F20" s="223"/>
      <c r="G20" s="217"/>
      <c r="H20" s="221"/>
      <c r="I20" s="221"/>
      <c r="J20" s="223"/>
      <c r="K20" s="217"/>
      <c r="L20" s="217"/>
      <c r="M20" s="217"/>
      <c r="N20" s="217"/>
      <c r="O20" s="217"/>
      <c r="P20" s="221"/>
      <c r="Q20" s="221"/>
      <c r="R20" s="221"/>
      <c r="S20" s="221"/>
      <c r="T20" s="221"/>
      <c r="U20" s="221"/>
      <c r="V20" s="221"/>
      <c r="W20" s="221"/>
      <c r="X20" s="221"/>
      <c r="Y20" s="221"/>
      <c r="Z20" s="221"/>
      <c r="AA20" s="221"/>
      <c r="AB20" s="221"/>
      <c r="AC20" s="221"/>
      <c r="AD20" s="221"/>
      <c r="AE20" s="221"/>
      <c r="AF20" s="221"/>
      <c r="AG20" s="221"/>
      <c r="AH20" s="221"/>
      <c r="AI20" s="221"/>
      <c r="AJ20" s="221"/>
      <c r="AK20" s="221"/>
    </row>
    <row r="21" ht="12.75">
      <c r="A21" s="88" t="s">
        <v>265</v>
      </c>
    </row>
    <row r="22" spans="2:37" ht="12.75">
      <c r="B22" s="217"/>
      <c r="C22" s="226"/>
      <c r="D22" s="226"/>
      <c r="E22" s="226"/>
      <c r="F22" s="226"/>
      <c r="G22" s="226"/>
      <c r="H22" s="221"/>
      <c r="I22" s="221"/>
      <c r="J22" s="226"/>
      <c r="K22" s="226"/>
      <c r="L22" s="226"/>
      <c r="M22" s="226"/>
      <c r="N22" s="226"/>
      <c r="O22" s="226"/>
      <c r="P22" s="221"/>
      <c r="Q22" s="221"/>
      <c r="R22" s="221"/>
      <c r="S22" s="221"/>
      <c r="T22" s="221"/>
      <c r="U22" s="221"/>
      <c r="V22" s="221"/>
      <c r="W22" s="221"/>
      <c r="X22" s="221"/>
      <c r="Y22" s="221"/>
      <c r="Z22" s="221"/>
      <c r="AA22" s="221"/>
      <c r="AB22" s="221"/>
      <c r="AC22" s="221"/>
      <c r="AD22" s="221"/>
      <c r="AE22" s="221"/>
      <c r="AF22" s="221"/>
      <c r="AG22" s="221"/>
      <c r="AH22" s="221"/>
      <c r="AI22" s="221"/>
      <c r="AJ22" s="221"/>
      <c r="AK22" s="221"/>
    </row>
    <row r="23" spans="2:37" ht="12.75">
      <c r="B23" s="217"/>
      <c r="C23" s="226"/>
      <c r="D23" s="226"/>
      <c r="E23" s="226"/>
      <c r="F23" s="226"/>
      <c r="G23" s="226"/>
      <c r="H23" s="221"/>
      <c r="I23" s="30"/>
      <c r="J23" s="226"/>
      <c r="K23" s="226"/>
      <c r="L23" s="226"/>
      <c r="M23" s="226"/>
      <c r="N23" s="226"/>
      <c r="O23" s="226"/>
      <c r="P23" s="221"/>
      <c r="Q23" s="221"/>
      <c r="R23" s="221"/>
      <c r="S23" s="221"/>
      <c r="T23" s="221"/>
      <c r="U23" s="221"/>
      <c r="V23" s="221"/>
      <c r="W23" s="221"/>
      <c r="X23" s="221"/>
      <c r="Y23" s="221"/>
      <c r="Z23" s="221"/>
      <c r="AA23" s="221"/>
      <c r="AB23" s="221"/>
      <c r="AC23" s="221"/>
      <c r="AD23" s="221"/>
      <c r="AE23" s="221"/>
      <c r="AF23" s="221"/>
      <c r="AG23" s="221"/>
      <c r="AH23" s="221"/>
      <c r="AI23" s="221"/>
      <c r="AJ23" s="221"/>
      <c r="AK23" s="221"/>
    </row>
    <row r="24" spans="2:37" ht="12.75">
      <c r="B24" s="217"/>
      <c r="C24" s="226"/>
      <c r="D24" s="226"/>
      <c r="E24" s="226"/>
      <c r="F24" s="226"/>
      <c r="G24" s="226"/>
      <c r="H24" s="221"/>
      <c r="I24" s="221"/>
      <c r="J24" s="226"/>
      <c r="K24" s="226"/>
      <c r="L24" s="226"/>
      <c r="M24" s="226"/>
      <c r="N24" s="226"/>
      <c r="O24" s="226"/>
      <c r="P24" s="221"/>
      <c r="Q24" s="221"/>
      <c r="R24" s="221"/>
      <c r="S24" s="221"/>
      <c r="T24" s="221"/>
      <c r="U24" s="221"/>
      <c r="V24" s="221"/>
      <c r="W24" s="221"/>
      <c r="X24" s="221"/>
      <c r="Y24" s="221"/>
      <c r="Z24" s="221"/>
      <c r="AA24" s="221"/>
      <c r="AB24" s="221"/>
      <c r="AC24" s="221"/>
      <c r="AD24" s="221"/>
      <c r="AE24" s="221"/>
      <c r="AF24" s="221"/>
      <c r="AG24" s="221"/>
      <c r="AH24" s="221"/>
      <c r="AI24" s="221"/>
      <c r="AJ24" s="221"/>
      <c r="AK24" s="221"/>
    </row>
    <row r="25" spans="2:37" ht="12.75">
      <c r="B25" s="217"/>
      <c r="C25" s="226"/>
      <c r="D25" s="226"/>
      <c r="E25" s="226"/>
      <c r="F25" s="226"/>
      <c r="G25" s="226"/>
      <c r="H25" s="221"/>
      <c r="I25" s="221"/>
      <c r="J25" s="226"/>
      <c r="K25" s="226"/>
      <c r="L25" s="226"/>
      <c r="M25" s="226"/>
      <c r="N25" s="226"/>
      <c r="O25" s="226"/>
      <c r="P25" s="221"/>
      <c r="Q25" s="221"/>
      <c r="R25" s="221"/>
      <c r="S25" s="221"/>
      <c r="T25" s="221"/>
      <c r="U25" s="221"/>
      <c r="V25" s="221"/>
      <c r="W25" s="221"/>
      <c r="X25" s="221"/>
      <c r="Y25" s="221"/>
      <c r="Z25" s="221"/>
      <c r="AA25" s="221"/>
      <c r="AB25" s="221"/>
      <c r="AC25" s="221"/>
      <c r="AD25" s="221"/>
      <c r="AE25" s="221"/>
      <c r="AF25" s="221"/>
      <c r="AG25" s="221"/>
      <c r="AH25" s="221"/>
      <c r="AI25" s="221"/>
      <c r="AJ25" s="221"/>
      <c r="AK25" s="221"/>
    </row>
    <row r="26" spans="2:37" ht="12.75">
      <c r="B26" s="217"/>
      <c r="C26" s="226"/>
      <c r="D26" s="226"/>
      <c r="E26" s="226"/>
      <c r="F26" s="226"/>
      <c r="G26" s="226"/>
      <c r="H26" s="221"/>
      <c r="I26" s="221"/>
      <c r="J26" s="226"/>
      <c r="K26" s="226"/>
      <c r="L26" s="226"/>
      <c r="M26" s="226"/>
      <c r="N26" s="226"/>
      <c r="O26" s="226"/>
      <c r="P26" s="221"/>
      <c r="Q26" s="221"/>
      <c r="R26" s="221"/>
      <c r="S26" s="221"/>
      <c r="T26" s="221"/>
      <c r="U26" s="221"/>
      <c r="V26" s="221"/>
      <c r="W26" s="221"/>
      <c r="X26" s="221"/>
      <c r="Y26" s="221"/>
      <c r="Z26" s="221"/>
      <c r="AA26" s="221"/>
      <c r="AB26" s="221"/>
      <c r="AC26" s="221"/>
      <c r="AD26" s="221"/>
      <c r="AE26" s="221"/>
      <c r="AF26" s="221"/>
      <c r="AG26" s="221"/>
      <c r="AH26" s="221"/>
      <c r="AI26" s="221"/>
      <c r="AJ26" s="221"/>
      <c r="AK26" s="221"/>
    </row>
    <row r="27" spans="2:37" ht="12.75">
      <c r="B27" s="217"/>
      <c r="C27" s="227"/>
      <c r="D27" s="227"/>
      <c r="E27" s="227"/>
      <c r="F27" s="227"/>
      <c r="G27" s="227"/>
      <c r="H27" s="228"/>
      <c r="I27" s="228"/>
      <c r="J27" s="227"/>
      <c r="K27" s="227"/>
      <c r="L27" s="227"/>
      <c r="M27" s="227"/>
      <c r="N27" s="227"/>
      <c r="O27" s="227"/>
      <c r="P27" s="228"/>
      <c r="Q27" s="228"/>
      <c r="R27" s="228"/>
      <c r="S27" s="228"/>
      <c r="T27" s="228"/>
      <c r="U27" s="228"/>
      <c r="V27" s="228"/>
      <c r="W27" s="228"/>
      <c r="X27" s="228"/>
      <c r="Y27" s="228"/>
      <c r="Z27" s="228"/>
      <c r="AA27" s="228"/>
      <c r="AB27" s="228"/>
      <c r="AC27" s="228"/>
      <c r="AD27" s="228"/>
      <c r="AE27" s="228"/>
      <c r="AF27" s="228"/>
      <c r="AG27" s="228"/>
      <c r="AH27" s="228"/>
      <c r="AI27" s="228"/>
      <c r="AJ27" s="228"/>
      <c r="AK27" s="228"/>
    </row>
    <row r="28" spans="2:37" ht="12.75">
      <c r="B28" s="227"/>
      <c r="C28" s="227"/>
      <c r="D28" s="227"/>
      <c r="E28" s="227"/>
      <c r="F28" s="227"/>
      <c r="G28" s="227"/>
      <c r="H28" s="228"/>
      <c r="I28" s="228"/>
      <c r="J28" s="227"/>
      <c r="K28" s="227"/>
      <c r="L28" s="227"/>
      <c r="M28" s="227"/>
      <c r="N28" s="227"/>
      <c r="O28" s="227"/>
      <c r="P28" s="228"/>
      <c r="Q28" s="228"/>
      <c r="R28" s="228"/>
      <c r="S28" s="228"/>
      <c r="T28" s="228"/>
      <c r="U28" s="228"/>
      <c r="V28" s="228"/>
      <c r="W28" s="228"/>
      <c r="X28" s="228"/>
      <c r="Y28" s="228"/>
      <c r="Z28" s="228"/>
      <c r="AA28" s="228"/>
      <c r="AB28" s="228"/>
      <c r="AC28" s="228"/>
      <c r="AD28" s="228"/>
      <c r="AE28" s="228"/>
      <c r="AF28" s="228"/>
      <c r="AG28" s="228"/>
      <c r="AH28" s="228"/>
      <c r="AI28" s="228"/>
      <c r="AJ28" s="228"/>
      <c r="AK28" s="228"/>
    </row>
    <row r="29" spans="2:37" ht="12.75">
      <c r="B29" s="227"/>
      <c r="C29" s="227"/>
      <c r="D29" s="227"/>
      <c r="E29" s="227"/>
      <c r="F29" s="227"/>
      <c r="G29" s="227"/>
      <c r="H29" s="228"/>
      <c r="I29" s="228"/>
      <c r="J29" s="227"/>
      <c r="K29" s="227"/>
      <c r="L29" s="227"/>
      <c r="M29" s="227"/>
      <c r="N29" s="227"/>
      <c r="O29" s="227"/>
      <c r="P29" s="228"/>
      <c r="Q29" s="228"/>
      <c r="R29" s="228"/>
      <c r="S29" s="228"/>
      <c r="T29" s="228"/>
      <c r="U29" s="228"/>
      <c r="V29" s="228"/>
      <c r="W29" s="228"/>
      <c r="X29" s="228"/>
      <c r="Y29" s="228"/>
      <c r="Z29" s="228"/>
      <c r="AA29" s="228"/>
      <c r="AB29" s="228"/>
      <c r="AC29" s="228"/>
      <c r="AD29" s="228"/>
      <c r="AE29" s="228"/>
      <c r="AF29" s="228"/>
      <c r="AG29" s="228"/>
      <c r="AH29" s="228"/>
      <c r="AI29" s="228"/>
      <c r="AJ29" s="228"/>
      <c r="AK29" s="228"/>
    </row>
    <row r="30" spans="2:37" ht="12.75">
      <c r="B30" s="227"/>
      <c r="C30" s="227"/>
      <c r="D30" s="227"/>
      <c r="E30" s="227"/>
      <c r="F30" s="227"/>
      <c r="G30" s="227"/>
      <c r="H30" s="228"/>
      <c r="I30" s="228"/>
      <c r="J30" s="227"/>
      <c r="K30" s="227"/>
      <c r="L30" s="227"/>
      <c r="M30" s="227"/>
      <c r="N30" s="227"/>
      <c r="O30" s="227"/>
      <c r="P30" s="228"/>
      <c r="Q30" s="228"/>
      <c r="R30" s="228"/>
      <c r="S30" s="228"/>
      <c r="T30" s="228"/>
      <c r="U30" s="228"/>
      <c r="V30" s="228"/>
      <c r="W30" s="228"/>
      <c r="X30" s="228"/>
      <c r="Y30" s="228"/>
      <c r="Z30" s="228"/>
      <c r="AA30" s="228"/>
      <c r="AB30" s="228"/>
      <c r="AC30" s="228"/>
      <c r="AD30" s="228"/>
      <c r="AE30" s="228"/>
      <c r="AF30" s="228"/>
      <c r="AG30" s="228"/>
      <c r="AH30" s="228"/>
      <c r="AI30" s="228"/>
      <c r="AJ30" s="228"/>
      <c r="AK30" s="228"/>
    </row>
    <row r="31" spans="2:37" ht="12.75">
      <c r="B31" s="227"/>
      <c r="C31" s="227"/>
      <c r="D31" s="227"/>
      <c r="E31" s="227"/>
      <c r="F31" s="227"/>
      <c r="G31" s="227"/>
      <c r="H31" s="228"/>
      <c r="I31" s="228"/>
      <c r="J31" s="227"/>
      <c r="K31" s="227"/>
      <c r="L31" s="227"/>
      <c r="M31" s="227"/>
      <c r="N31" s="227"/>
      <c r="O31" s="227"/>
      <c r="P31" s="228"/>
      <c r="Q31" s="228"/>
      <c r="R31" s="228"/>
      <c r="S31" s="228"/>
      <c r="T31" s="228"/>
      <c r="U31" s="228"/>
      <c r="V31" s="228"/>
      <c r="W31" s="228"/>
      <c r="X31" s="228"/>
      <c r="Y31" s="228"/>
      <c r="Z31" s="228"/>
      <c r="AA31" s="228"/>
      <c r="AB31" s="228"/>
      <c r="AC31" s="228"/>
      <c r="AD31" s="228"/>
      <c r="AE31" s="228"/>
      <c r="AF31" s="228"/>
      <c r="AG31" s="228"/>
      <c r="AH31" s="228"/>
      <c r="AI31" s="228"/>
      <c r="AJ31" s="228"/>
      <c r="AK31" s="228"/>
    </row>
    <row r="32" spans="2:37" ht="12.75">
      <c r="B32" s="227"/>
      <c r="C32" s="227"/>
      <c r="D32" s="227"/>
      <c r="E32" s="227"/>
      <c r="F32" s="227"/>
      <c r="G32" s="227"/>
      <c r="H32" s="228"/>
      <c r="I32" s="228"/>
      <c r="J32" s="227"/>
      <c r="K32" s="227"/>
      <c r="L32" s="227"/>
      <c r="M32" s="227"/>
      <c r="N32" s="227"/>
      <c r="O32" s="227"/>
      <c r="P32" s="228"/>
      <c r="Q32" s="228"/>
      <c r="R32" s="228"/>
      <c r="S32" s="228"/>
      <c r="T32" s="228"/>
      <c r="U32" s="228"/>
      <c r="V32" s="228"/>
      <c r="W32" s="228"/>
      <c r="X32" s="228"/>
      <c r="Y32" s="228"/>
      <c r="Z32" s="228"/>
      <c r="AA32" s="228"/>
      <c r="AB32" s="228"/>
      <c r="AC32" s="228"/>
      <c r="AD32" s="228"/>
      <c r="AE32" s="228"/>
      <c r="AF32" s="228"/>
      <c r="AG32" s="228"/>
      <c r="AH32" s="228"/>
      <c r="AI32" s="228"/>
      <c r="AJ32" s="228"/>
      <c r="AK32" s="228"/>
    </row>
    <row r="33" spans="2:37" ht="12.75">
      <c r="B33" s="227"/>
      <c r="C33" s="227"/>
      <c r="D33" s="227"/>
      <c r="E33" s="227"/>
      <c r="F33" s="227"/>
      <c r="G33" s="227"/>
      <c r="H33" s="228"/>
      <c r="I33" s="228"/>
      <c r="J33" s="227"/>
      <c r="K33" s="227"/>
      <c r="L33" s="227"/>
      <c r="M33" s="227"/>
      <c r="N33" s="227"/>
      <c r="O33" s="227"/>
      <c r="P33" s="228"/>
      <c r="Q33" s="228"/>
      <c r="R33" s="228"/>
      <c r="S33" s="228"/>
      <c r="T33" s="228"/>
      <c r="U33" s="228"/>
      <c r="V33" s="228"/>
      <c r="W33" s="228"/>
      <c r="X33" s="228"/>
      <c r="Y33" s="228"/>
      <c r="Z33" s="228"/>
      <c r="AA33" s="228"/>
      <c r="AB33" s="228"/>
      <c r="AC33" s="228"/>
      <c r="AD33" s="228"/>
      <c r="AE33" s="228"/>
      <c r="AF33" s="228"/>
      <c r="AG33" s="228"/>
      <c r="AH33" s="228"/>
      <c r="AI33" s="228"/>
      <c r="AJ33" s="228"/>
      <c r="AK33" s="228"/>
    </row>
    <row r="34" spans="2:37" ht="12.75">
      <c r="B34" s="227"/>
      <c r="C34" s="227"/>
      <c r="D34" s="227"/>
      <c r="E34" s="227"/>
      <c r="F34" s="227"/>
      <c r="G34" s="227"/>
      <c r="H34" s="228"/>
      <c r="I34" s="228"/>
      <c r="J34" s="227"/>
      <c r="K34" s="227"/>
      <c r="L34" s="227"/>
      <c r="M34" s="227"/>
      <c r="N34" s="227"/>
      <c r="O34" s="227"/>
      <c r="P34" s="228"/>
      <c r="Q34" s="228"/>
      <c r="R34" s="228"/>
      <c r="S34" s="228"/>
      <c r="T34" s="228"/>
      <c r="U34" s="228"/>
      <c r="V34" s="228"/>
      <c r="W34" s="228"/>
      <c r="X34" s="228"/>
      <c r="Y34" s="228"/>
      <c r="Z34" s="228"/>
      <c r="AA34" s="228"/>
      <c r="AB34" s="228"/>
      <c r="AC34" s="228"/>
      <c r="AD34" s="228"/>
      <c r="AE34" s="228"/>
      <c r="AF34" s="228"/>
      <c r="AG34" s="228"/>
      <c r="AH34" s="228"/>
      <c r="AI34" s="228"/>
      <c r="AJ34" s="228"/>
      <c r="AK34" s="228"/>
    </row>
    <row r="35" spans="2:37" ht="12.75">
      <c r="B35" s="227"/>
      <c r="C35" s="227"/>
      <c r="D35" s="227"/>
      <c r="E35" s="227"/>
      <c r="F35" s="227"/>
      <c r="G35" s="227"/>
      <c r="H35" s="228"/>
      <c r="I35" s="228"/>
      <c r="J35" s="227"/>
      <c r="K35" s="227"/>
      <c r="L35" s="227"/>
      <c r="M35" s="227"/>
      <c r="N35" s="227"/>
      <c r="O35" s="227"/>
      <c r="P35" s="228"/>
      <c r="Q35" s="228"/>
      <c r="R35" s="228"/>
      <c r="S35" s="228"/>
      <c r="T35" s="228"/>
      <c r="U35" s="228"/>
      <c r="V35" s="228"/>
      <c r="W35" s="228"/>
      <c r="X35" s="228"/>
      <c r="Y35" s="228"/>
      <c r="Z35" s="228"/>
      <c r="AA35" s="228"/>
      <c r="AB35" s="228"/>
      <c r="AC35" s="228"/>
      <c r="AD35" s="228"/>
      <c r="AE35" s="228"/>
      <c r="AF35" s="228"/>
      <c r="AG35" s="228"/>
      <c r="AH35" s="228"/>
      <c r="AI35" s="228"/>
      <c r="AJ35" s="228"/>
      <c r="AK35" s="228"/>
    </row>
    <row r="36" spans="2:37" ht="12.75">
      <c r="B36" s="227"/>
      <c r="C36" s="227"/>
      <c r="D36" s="227"/>
      <c r="E36" s="227"/>
      <c r="F36" s="227"/>
      <c r="G36" s="227"/>
      <c r="H36" s="228"/>
      <c r="I36" s="228"/>
      <c r="J36" s="227"/>
      <c r="K36" s="227"/>
      <c r="L36" s="227"/>
      <c r="M36" s="227"/>
      <c r="N36" s="227"/>
      <c r="O36" s="227"/>
      <c r="P36" s="228"/>
      <c r="Q36" s="228"/>
      <c r="R36" s="228"/>
      <c r="S36" s="228"/>
      <c r="T36" s="228"/>
      <c r="U36" s="228"/>
      <c r="V36" s="228"/>
      <c r="W36" s="228"/>
      <c r="X36" s="228"/>
      <c r="Y36" s="228"/>
      <c r="Z36" s="228"/>
      <c r="AA36" s="228"/>
      <c r="AB36" s="228"/>
      <c r="AC36" s="228"/>
      <c r="AD36" s="228"/>
      <c r="AE36" s="228"/>
      <c r="AF36" s="228"/>
      <c r="AG36" s="228"/>
      <c r="AH36" s="228"/>
      <c r="AI36" s="228"/>
      <c r="AJ36" s="228"/>
      <c r="AK36" s="228"/>
    </row>
    <row r="37" spans="2:37" ht="12.75">
      <c r="B37" s="227"/>
      <c r="C37" s="227"/>
      <c r="D37" s="227"/>
      <c r="E37" s="227"/>
      <c r="F37" s="227"/>
      <c r="G37" s="227"/>
      <c r="H37" s="228"/>
      <c r="I37" s="228"/>
      <c r="J37" s="227"/>
      <c r="K37" s="227"/>
      <c r="L37" s="227"/>
      <c r="M37" s="227"/>
      <c r="N37" s="227"/>
      <c r="O37" s="227"/>
      <c r="P37" s="228"/>
      <c r="Q37" s="228"/>
      <c r="R37" s="228"/>
      <c r="S37" s="228"/>
      <c r="T37" s="228"/>
      <c r="U37" s="228"/>
      <c r="V37" s="228"/>
      <c r="W37" s="228"/>
      <c r="X37" s="228"/>
      <c r="Y37" s="228"/>
      <c r="Z37" s="228"/>
      <c r="AA37" s="228"/>
      <c r="AB37" s="228"/>
      <c r="AC37" s="228"/>
      <c r="AD37" s="228"/>
      <c r="AE37" s="228"/>
      <c r="AF37" s="228"/>
      <c r="AG37" s="228"/>
      <c r="AH37" s="228"/>
      <c r="AI37" s="228"/>
      <c r="AJ37" s="228"/>
      <c r="AK37" s="228"/>
    </row>
    <row r="38" spans="2:37" ht="12.75">
      <c r="B38" s="227"/>
      <c r="C38" s="227"/>
      <c r="D38" s="227"/>
      <c r="E38" s="227"/>
      <c r="F38" s="227"/>
      <c r="G38" s="227"/>
      <c r="H38" s="228"/>
      <c r="I38" s="228"/>
      <c r="J38" s="227"/>
      <c r="K38" s="227"/>
      <c r="L38" s="227"/>
      <c r="M38" s="227"/>
      <c r="N38" s="227"/>
      <c r="O38" s="227"/>
      <c r="P38" s="228"/>
      <c r="Q38" s="228"/>
      <c r="R38" s="228"/>
      <c r="S38" s="228"/>
      <c r="T38" s="228"/>
      <c r="U38" s="228"/>
      <c r="V38" s="228"/>
      <c r="W38" s="228"/>
      <c r="X38" s="228"/>
      <c r="Y38" s="228"/>
      <c r="Z38" s="228"/>
      <c r="AA38" s="228"/>
      <c r="AB38" s="228"/>
      <c r="AC38" s="228"/>
      <c r="AD38" s="228"/>
      <c r="AE38" s="228"/>
      <c r="AF38" s="228"/>
      <c r="AG38" s="228"/>
      <c r="AH38" s="228"/>
      <c r="AI38" s="228"/>
      <c r="AJ38" s="228"/>
      <c r="AK38" s="228"/>
    </row>
    <row r="39" spans="2:37" ht="12.75">
      <c r="B39" s="227"/>
      <c r="C39" s="227"/>
      <c r="D39" s="227"/>
      <c r="E39" s="227"/>
      <c r="F39" s="227"/>
      <c r="G39" s="227"/>
      <c r="H39" s="228"/>
      <c r="I39" s="228"/>
      <c r="J39" s="227"/>
      <c r="K39" s="227"/>
      <c r="L39" s="227"/>
      <c r="M39" s="227"/>
      <c r="N39" s="227"/>
      <c r="O39" s="227"/>
      <c r="P39" s="228"/>
      <c r="Q39" s="228"/>
      <c r="R39" s="228"/>
      <c r="S39" s="228"/>
      <c r="T39" s="228"/>
      <c r="U39" s="228"/>
      <c r="V39" s="228"/>
      <c r="W39" s="228"/>
      <c r="X39" s="228"/>
      <c r="Y39" s="228"/>
      <c r="Z39" s="228"/>
      <c r="AA39" s="228"/>
      <c r="AB39" s="228"/>
      <c r="AC39" s="228"/>
      <c r="AD39" s="228"/>
      <c r="AE39" s="228"/>
      <c r="AF39" s="228"/>
      <c r="AG39" s="228"/>
      <c r="AH39" s="228"/>
      <c r="AI39" s="228"/>
      <c r="AJ39" s="228"/>
      <c r="AK39" s="228"/>
    </row>
    <row r="40" spans="2:37" ht="12.75">
      <c r="B40" s="227"/>
      <c r="C40" s="227"/>
      <c r="D40" s="227"/>
      <c r="E40" s="227"/>
      <c r="F40" s="227"/>
      <c r="G40" s="227"/>
      <c r="H40" s="228"/>
      <c r="I40" s="228"/>
      <c r="J40" s="227"/>
      <c r="K40" s="227"/>
      <c r="L40" s="227"/>
      <c r="M40" s="227"/>
      <c r="N40" s="227"/>
      <c r="O40" s="227"/>
      <c r="P40" s="228"/>
      <c r="Q40" s="228"/>
      <c r="R40" s="228"/>
      <c r="S40" s="228"/>
      <c r="T40" s="228"/>
      <c r="U40" s="228"/>
      <c r="V40" s="228"/>
      <c r="W40" s="228"/>
      <c r="X40" s="228"/>
      <c r="Y40" s="228"/>
      <c r="Z40" s="228"/>
      <c r="AA40" s="228"/>
      <c r="AB40" s="228"/>
      <c r="AC40" s="228"/>
      <c r="AD40" s="228"/>
      <c r="AE40" s="228"/>
      <c r="AF40" s="228"/>
      <c r="AG40" s="228"/>
      <c r="AH40" s="228"/>
      <c r="AI40" s="228"/>
      <c r="AJ40" s="228"/>
      <c r="AK40" s="228"/>
    </row>
    <row r="41" spans="2:37" ht="12.75">
      <c r="B41" s="227"/>
      <c r="C41" s="227"/>
      <c r="D41" s="227"/>
      <c r="E41" s="227"/>
      <c r="F41" s="227"/>
      <c r="G41" s="227"/>
      <c r="H41" s="228"/>
      <c r="I41" s="228"/>
      <c r="J41" s="227"/>
      <c r="K41" s="227"/>
      <c r="L41" s="227"/>
      <c r="M41" s="227"/>
      <c r="N41" s="227"/>
      <c r="O41" s="227"/>
      <c r="P41" s="228"/>
      <c r="Q41" s="228"/>
      <c r="R41" s="228"/>
      <c r="S41" s="228"/>
      <c r="T41" s="228"/>
      <c r="U41" s="228"/>
      <c r="V41" s="228"/>
      <c r="W41" s="228"/>
      <c r="X41" s="228"/>
      <c r="Y41" s="228"/>
      <c r="Z41" s="228"/>
      <c r="AA41" s="228"/>
      <c r="AB41" s="228"/>
      <c r="AC41" s="228"/>
      <c r="AD41" s="228"/>
      <c r="AE41" s="228"/>
      <c r="AF41" s="228"/>
      <c r="AG41" s="228"/>
      <c r="AH41" s="228"/>
      <c r="AI41" s="228"/>
      <c r="AJ41" s="228"/>
      <c r="AK41" s="228"/>
    </row>
    <row r="42" spans="2:37" ht="12.75">
      <c r="B42" s="227"/>
      <c r="C42" s="227"/>
      <c r="D42" s="227"/>
      <c r="E42" s="227"/>
      <c r="F42" s="227"/>
      <c r="G42" s="227"/>
      <c r="H42" s="228"/>
      <c r="I42" s="228"/>
      <c r="J42" s="227"/>
      <c r="K42" s="227"/>
      <c r="L42" s="227"/>
      <c r="M42" s="227"/>
      <c r="N42" s="227"/>
      <c r="O42" s="227"/>
      <c r="P42" s="228"/>
      <c r="Q42" s="228"/>
      <c r="R42" s="228"/>
      <c r="S42" s="228"/>
      <c r="T42" s="228"/>
      <c r="U42" s="228"/>
      <c r="V42" s="228"/>
      <c r="W42" s="228"/>
      <c r="X42" s="228"/>
      <c r="Y42" s="228"/>
      <c r="Z42" s="228"/>
      <c r="AA42" s="228"/>
      <c r="AB42" s="228"/>
      <c r="AC42" s="228"/>
      <c r="AD42" s="228"/>
      <c r="AE42" s="228"/>
      <c r="AF42" s="228"/>
      <c r="AG42" s="228"/>
      <c r="AH42" s="228"/>
      <c r="AI42" s="228"/>
      <c r="AJ42" s="228"/>
      <c r="AK42" s="228"/>
    </row>
    <row r="43" spans="2:37" ht="12.75">
      <c r="B43" s="227"/>
      <c r="C43" s="227"/>
      <c r="D43" s="227"/>
      <c r="E43" s="227"/>
      <c r="F43" s="227"/>
      <c r="G43" s="227"/>
      <c r="H43" s="228"/>
      <c r="I43" s="228"/>
      <c r="J43" s="227"/>
      <c r="K43" s="227"/>
      <c r="L43" s="227"/>
      <c r="M43" s="227"/>
      <c r="N43" s="227"/>
      <c r="O43" s="227"/>
      <c r="P43" s="228"/>
      <c r="Q43" s="228"/>
      <c r="R43" s="228"/>
      <c r="S43" s="228"/>
      <c r="T43" s="228"/>
      <c r="U43" s="228"/>
      <c r="V43" s="228"/>
      <c r="W43" s="228"/>
      <c r="X43" s="228"/>
      <c r="Y43" s="228"/>
      <c r="Z43" s="228"/>
      <c r="AA43" s="228"/>
      <c r="AB43" s="228"/>
      <c r="AC43" s="228"/>
      <c r="AD43" s="228"/>
      <c r="AE43" s="228"/>
      <c r="AF43" s="228"/>
      <c r="AG43" s="228"/>
      <c r="AH43" s="228"/>
      <c r="AI43" s="228"/>
      <c r="AJ43" s="228"/>
      <c r="AK43" s="228"/>
    </row>
    <row r="44" spans="2:37" ht="12.75">
      <c r="B44" s="227"/>
      <c r="C44" s="227"/>
      <c r="D44" s="227"/>
      <c r="E44" s="227"/>
      <c r="F44" s="227"/>
      <c r="G44" s="227"/>
      <c r="H44" s="228"/>
      <c r="I44" s="228"/>
      <c r="J44" s="227"/>
      <c r="K44" s="227"/>
      <c r="L44" s="227"/>
      <c r="M44" s="227"/>
      <c r="N44" s="227"/>
      <c r="O44" s="227"/>
      <c r="P44" s="228"/>
      <c r="Q44" s="228"/>
      <c r="R44" s="228"/>
      <c r="S44" s="228"/>
      <c r="T44" s="228"/>
      <c r="U44" s="228"/>
      <c r="V44" s="228"/>
      <c r="W44" s="228"/>
      <c r="X44" s="228"/>
      <c r="Y44" s="228"/>
      <c r="Z44" s="228"/>
      <c r="AA44" s="228"/>
      <c r="AB44" s="228"/>
      <c r="AC44" s="228"/>
      <c r="AD44" s="228"/>
      <c r="AE44" s="228"/>
      <c r="AF44" s="228"/>
      <c r="AG44" s="228"/>
      <c r="AH44" s="228"/>
      <c r="AI44" s="228"/>
      <c r="AJ44" s="228"/>
      <c r="AK44" s="228"/>
    </row>
  </sheetData>
  <sheetProtection/>
  <printOptions/>
  <pageMargins left="0.25" right="0.25" top="0.75" bottom="0.75" header="0.3" footer="0.3"/>
  <pageSetup fitToHeight="1" fitToWidth="1" horizontalDpi="600" verticalDpi="600" orientation="landscape" paperSize="9" scale="71" r:id="rId1"/>
  <headerFooter alignWithMargins="0">
    <oddFooter>&amp;CPage &amp;P of &amp;N&amp;R&amp;F&amp;A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U93"/>
  <sheetViews>
    <sheetView showGridLines="0" view="pageBreakPreview" zoomScaleSheetLayoutView="100" zoomScalePageLayoutView="0" workbookViewId="0" topLeftCell="A28">
      <selection activeCell="E53" sqref="E53"/>
    </sheetView>
  </sheetViews>
  <sheetFormatPr defaultColWidth="11.421875" defaultRowHeight="12.75" outlineLevelRow="1" outlineLevelCol="1"/>
  <cols>
    <col min="1" max="1" width="37.421875" style="36" customWidth="1"/>
    <col min="2" max="4" width="6.7109375" style="232" hidden="1" customWidth="1" outlineLevel="1"/>
    <col min="5" max="5" width="6.7109375" style="232" customWidth="1" collapsed="1"/>
    <col min="6" max="7" width="6.7109375" style="232" hidden="1" customWidth="1" outlineLevel="1"/>
    <col min="8" max="8" width="6.7109375" style="36" hidden="1" customWidth="1" outlineLevel="1"/>
    <col min="9" max="9" width="6.7109375" style="36" customWidth="1" collapsed="1"/>
    <col min="10" max="10" width="6.7109375" style="260" hidden="1" customWidth="1" outlineLevel="1"/>
    <col min="11" max="12" width="6.7109375" style="232" hidden="1" customWidth="1" outlineLevel="1"/>
    <col min="13" max="13" width="6.7109375" style="232" customWidth="1" collapsed="1"/>
    <col min="14" max="15" width="6.7109375" style="232" hidden="1" customWidth="1" outlineLevel="1"/>
    <col min="16" max="16" width="7.28125" style="232" hidden="1" customWidth="1" outlineLevel="1"/>
    <col min="17" max="17" width="7.28125" style="232" customWidth="1" collapsed="1"/>
    <col min="18" max="20" width="7.28125" style="232" hidden="1" customWidth="1" outlineLevel="1"/>
    <col min="21" max="21" width="7.28125" style="232" customWidth="1" collapsed="1"/>
    <col min="22" max="24" width="7.28125" style="232" hidden="1" customWidth="1" outlineLevel="1"/>
    <col min="25" max="25" width="7.28125" style="232" customWidth="1" collapsed="1"/>
    <col min="26" max="35" width="7.28125" style="232" customWidth="1"/>
    <col min="36" max="36" width="6.7109375" style="261" customWidth="1"/>
    <col min="37" max="40" width="7.140625" style="36" customWidth="1"/>
    <col min="41" max="45" width="6.7109375" style="232" customWidth="1"/>
    <col min="46" max="48" width="6.7109375" style="36" customWidth="1"/>
    <col min="49" max="16384" width="11.421875" style="36" customWidth="1"/>
  </cols>
  <sheetData>
    <row r="1" spans="1:45" s="194" customFormat="1" ht="12.75">
      <c r="A1" s="194" t="s">
        <v>17</v>
      </c>
      <c r="B1" s="229"/>
      <c r="C1" s="229"/>
      <c r="D1" s="229"/>
      <c r="E1" s="229"/>
      <c r="F1" s="229"/>
      <c r="G1" s="229"/>
      <c r="J1" s="230"/>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31"/>
      <c r="AO1" s="229"/>
      <c r="AP1" s="229"/>
      <c r="AQ1" s="229"/>
      <c r="AR1" s="229"/>
      <c r="AS1" s="229"/>
    </row>
    <row r="2" spans="19:35" ht="12.75">
      <c r="S2" s="280"/>
      <c r="T2" s="280"/>
      <c r="U2" s="280"/>
      <c r="V2" s="280"/>
      <c r="W2" s="280"/>
      <c r="X2" s="280"/>
      <c r="Y2" s="280"/>
      <c r="Z2" s="280"/>
      <c r="AA2" s="280"/>
      <c r="AB2" s="280"/>
      <c r="AC2" s="280"/>
      <c r="AD2" s="280"/>
      <c r="AE2" s="280"/>
      <c r="AF2" s="280"/>
      <c r="AG2" s="280"/>
      <c r="AH2" s="280"/>
      <c r="AI2" s="280"/>
    </row>
    <row r="3" spans="1:45" ht="12.75">
      <c r="A3" s="2" t="s">
        <v>15</v>
      </c>
      <c r="B3" s="3" t="s">
        <v>6</v>
      </c>
      <c r="C3" s="4" t="s">
        <v>20</v>
      </c>
      <c r="D3" s="4" t="s">
        <v>21</v>
      </c>
      <c r="E3" s="4" t="s">
        <v>22</v>
      </c>
      <c r="F3" s="3" t="s">
        <v>0</v>
      </c>
      <c r="G3" s="3" t="s">
        <v>19</v>
      </c>
      <c r="H3" s="4" t="s">
        <v>18</v>
      </c>
      <c r="I3" s="4" t="s">
        <v>136</v>
      </c>
      <c r="J3" s="5" t="s">
        <v>160</v>
      </c>
      <c r="K3" s="3" t="s">
        <v>163</v>
      </c>
      <c r="L3" s="3" t="s">
        <v>164</v>
      </c>
      <c r="M3" s="4" t="s">
        <v>165</v>
      </c>
      <c r="N3" s="4" t="s">
        <v>172</v>
      </c>
      <c r="O3" s="4" t="s">
        <v>181</v>
      </c>
      <c r="P3" s="4" t="s">
        <v>183</v>
      </c>
      <c r="Q3" s="4" t="s">
        <v>185</v>
      </c>
      <c r="R3" s="4" t="s">
        <v>187</v>
      </c>
      <c r="S3" s="4" t="s">
        <v>202</v>
      </c>
      <c r="T3" s="4" t="s">
        <v>205</v>
      </c>
      <c r="U3" s="4" t="s">
        <v>206</v>
      </c>
      <c r="V3" s="4" t="s">
        <v>210</v>
      </c>
      <c r="W3" s="4" t="s">
        <v>211</v>
      </c>
      <c r="X3" s="4" t="s">
        <v>215</v>
      </c>
      <c r="Y3" s="4" t="s">
        <v>218</v>
      </c>
      <c r="Z3" s="4" t="s">
        <v>225</v>
      </c>
      <c r="AA3" s="4" t="s">
        <v>231</v>
      </c>
      <c r="AB3" s="4" t="s">
        <v>241</v>
      </c>
      <c r="AC3" s="4" t="s">
        <v>244</v>
      </c>
      <c r="AD3" s="4" t="s">
        <v>245</v>
      </c>
      <c r="AE3" s="4" t="s">
        <v>247</v>
      </c>
      <c r="AF3" s="4" t="s">
        <v>252</v>
      </c>
      <c r="AG3" s="4" t="s">
        <v>259</v>
      </c>
      <c r="AH3" s="4" t="s">
        <v>266</v>
      </c>
      <c r="AI3" s="4" t="s">
        <v>269</v>
      </c>
      <c r="AJ3" s="6"/>
      <c r="AK3" s="4">
        <v>2005</v>
      </c>
      <c r="AL3" s="4">
        <v>2006</v>
      </c>
      <c r="AM3" s="4">
        <v>2007</v>
      </c>
      <c r="AN3" s="4">
        <v>2008</v>
      </c>
      <c r="AO3" s="4">
        <v>2009</v>
      </c>
      <c r="AP3" s="4">
        <v>2010</v>
      </c>
      <c r="AQ3" s="4">
        <v>2011</v>
      </c>
      <c r="AR3" s="4">
        <v>2012</v>
      </c>
      <c r="AS3" s="4">
        <v>2013</v>
      </c>
    </row>
    <row r="4" spans="1:45" ht="12.75">
      <c r="A4" s="7" t="s">
        <v>192</v>
      </c>
      <c r="B4" s="21">
        <v>2298.9757100000006</v>
      </c>
      <c r="C4" s="21">
        <v>4705.402910000001</v>
      </c>
      <c r="D4" s="21">
        <v>6999.845698000004</v>
      </c>
      <c r="E4" s="21">
        <v>9262.343640007</v>
      </c>
      <c r="F4" s="21">
        <v>2388.03049</v>
      </c>
      <c r="G4" s="21">
        <v>4466.453157999999</v>
      </c>
      <c r="H4" s="21">
        <v>6666.192270999998</v>
      </c>
      <c r="I4" s="21">
        <v>9126.614155999998</v>
      </c>
      <c r="J4" s="23">
        <v>2129.761643</v>
      </c>
      <c r="K4" s="21">
        <v>4673.937072</v>
      </c>
      <c r="L4" s="21">
        <v>6883.831734999996</v>
      </c>
      <c r="M4" s="21">
        <v>8488.330298887493</v>
      </c>
      <c r="N4" s="21">
        <v>1893.3995911999998</v>
      </c>
      <c r="O4" s="21">
        <v>3820.5294948553847</v>
      </c>
      <c r="P4" s="21">
        <v>6523.760053000001</v>
      </c>
      <c r="Q4" s="21">
        <v>8922.406473</v>
      </c>
      <c r="R4" s="21">
        <v>2460.4054039999937</v>
      </c>
      <c r="S4" s="21">
        <v>5014</v>
      </c>
      <c r="T4" s="21">
        <v>7533.123205999993</v>
      </c>
      <c r="U4" s="21">
        <v>10091</v>
      </c>
      <c r="V4" s="21">
        <f aca="true" t="shared" si="0" ref="V4:AA4">V6+V8+V10</f>
        <v>2069.5633639999974</v>
      </c>
      <c r="W4" s="21">
        <f t="shared" si="0"/>
        <v>4463.800387999998</v>
      </c>
      <c r="X4" s="21">
        <f t="shared" si="0"/>
        <v>6846</v>
      </c>
      <c r="Y4" s="21">
        <f t="shared" si="0"/>
        <v>9712.034352730236</v>
      </c>
      <c r="Z4" s="21">
        <f t="shared" si="0"/>
        <v>2352.760524</v>
      </c>
      <c r="AA4" s="21">
        <f t="shared" si="0"/>
        <v>4571.428338000018</v>
      </c>
      <c r="AB4" s="21">
        <v>7036.130462000051</v>
      </c>
      <c r="AC4" s="21">
        <v>9501.610284000008</v>
      </c>
      <c r="AD4" s="21">
        <v>2371.458086000032</v>
      </c>
      <c r="AE4" s="21">
        <v>4738</v>
      </c>
      <c r="AF4" s="21">
        <v>6947.264447000005</v>
      </c>
      <c r="AG4" s="21">
        <v>9340.648944</v>
      </c>
      <c r="AH4" s="21">
        <v>2665.2943939999996</v>
      </c>
      <c r="AI4" s="21">
        <v>5124.737234</v>
      </c>
      <c r="AJ4" s="23"/>
      <c r="AK4" s="21">
        <v>8201.254455</v>
      </c>
      <c r="AL4" s="21">
        <v>9262.343640007</v>
      </c>
      <c r="AM4" s="21">
        <v>9126.614155999998</v>
      </c>
      <c r="AN4" s="21">
        <v>8488.330298887493</v>
      </c>
      <c r="AO4" s="21">
        <f>Q4</f>
        <v>8922.406473</v>
      </c>
      <c r="AP4" s="21">
        <f>U4</f>
        <v>10091</v>
      </c>
      <c r="AQ4" s="21">
        <f>Y4</f>
        <v>9712.034352730236</v>
      </c>
      <c r="AR4" s="21">
        <f>AC4</f>
        <v>9501.610284000008</v>
      </c>
      <c r="AS4" s="21">
        <f>AG4</f>
        <v>9340.648944</v>
      </c>
    </row>
    <row r="5" spans="1:47" s="237" customFormat="1" ht="12.75">
      <c r="A5" s="9" t="s">
        <v>137</v>
      </c>
      <c r="B5" s="233"/>
      <c r="C5" s="233"/>
      <c r="D5" s="233"/>
      <c r="E5" s="233"/>
      <c r="F5" s="233"/>
      <c r="G5" s="233"/>
      <c r="H5" s="234"/>
      <c r="I5" s="234"/>
      <c r="J5" s="235"/>
      <c r="K5" s="233"/>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
      <c r="AK5" s="234"/>
      <c r="AL5" s="14">
        <v>0.12938132706760408</v>
      </c>
      <c r="AM5" s="14">
        <v>-0.014653902865441548</v>
      </c>
      <c r="AN5" s="14">
        <v>-0.0699365445062543</v>
      </c>
      <c r="AO5" s="14">
        <f>AO4/AN4-1</f>
        <v>0.05113799284759191</v>
      </c>
      <c r="AP5" s="14">
        <f>AP4/AO4-1</f>
        <v>0.13097290854617194</v>
      </c>
      <c r="AQ5" s="14">
        <f>AQ4/AP4-1</f>
        <v>-0.03755481590226584</v>
      </c>
      <c r="AR5" s="14">
        <f>AR4/AQ4-1</f>
        <v>-0.02166632253221734</v>
      </c>
      <c r="AS5" s="14">
        <f>AS4/AR4-1</f>
        <v>-0.016940427484281706</v>
      </c>
      <c r="AT5" s="236"/>
      <c r="AU5" s="236"/>
    </row>
    <row r="6" spans="1:45" ht="12.75">
      <c r="A6" s="238" t="s">
        <v>27</v>
      </c>
      <c r="B6" s="21">
        <v>131.77701</v>
      </c>
      <c r="C6" s="21">
        <v>406.12202</v>
      </c>
      <c r="D6" s="21">
        <v>685.3219100000001</v>
      </c>
      <c r="E6" s="21">
        <v>845.4429</v>
      </c>
      <c r="F6" s="21">
        <v>242.75050000000002</v>
      </c>
      <c r="G6" s="21">
        <v>357.34855000000005</v>
      </c>
      <c r="H6" s="21">
        <v>534.01555</v>
      </c>
      <c r="I6" s="21">
        <v>853.17555</v>
      </c>
      <c r="J6" s="23">
        <v>266.347</v>
      </c>
      <c r="K6" s="21">
        <v>419.58250999999996</v>
      </c>
      <c r="L6" s="21">
        <v>573.81976</v>
      </c>
      <c r="M6" s="21">
        <v>616.328033</v>
      </c>
      <c r="N6" s="21">
        <v>89.57957</v>
      </c>
      <c r="O6" s="21">
        <v>104.7199</v>
      </c>
      <c r="P6" s="21">
        <v>326.072245</v>
      </c>
      <c r="Q6" s="21">
        <v>559.23963</v>
      </c>
      <c r="R6" s="21">
        <v>94.22572999999971</v>
      </c>
      <c r="S6" s="21">
        <v>332</v>
      </c>
      <c r="T6" s="21">
        <v>505.2427900000008</v>
      </c>
      <c r="U6" s="21">
        <v>582.2756299999971</v>
      </c>
      <c r="V6" s="21">
        <v>152.6100499999999</v>
      </c>
      <c r="W6" s="21">
        <v>284.34244</v>
      </c>
      <c r="X6" s="21">
        <v>514</v>
      </c>
      <c r="Y6" s="21">
        <v>961.990067</v>
      </c>
      <c r="Z6" s="21">
        <v>219.648933</v>
      </c>
      <c r="AA6" s="21">
        <v>361.2936239999997</v>
      </c>
      <c r="AB6" s="21">
        <v>568.2252849999927</v>
      </c>
      <c r="AC6" s="21">
        <v>614.6167439999991</v>
      </c>
      <c r="AD6" s="21">
        <v>42.43551000000006</v>
      </c>
      <c r="AE6" s="21">
        <v>133</v>
      </c>
      <c r="AF6" s="21">
        <v>142.43735000000012</v>
      </c>
      <c r="AG6" s="21">
        <v>168.90523000000005</v>
      </c>
      <c r="AH6" s="21">
        <v>6.296549999999999</v>
      </c>
      <c r="AI6" s="21">
        <v>10.53875</v>
      </c>
      <c r="AJ6" s="23"/>
      <c r="AK6" s="21">
        <v>398.661</v>
      </c>
      <c r="AL6" s="21">
        <v>845.4429</v>
      </c>
      <c r="AM6" s="21">
        <v>853.17555</v>
      </c>
      <c r="AN6" s="21">
        <v>616.328033</v>
      </c>
      <c r="AO6" s="21">
        <f>Q6</f>
        <v>559.23963</v>
      </c>
      <c r="AP6" s="21">
        <f>U6</f>
        <v>582.2756299999971</v>
      </c>
      <c r="AQ6" s="21">
        <f>Y6</f>
        <v>961.990067</v>
      </c>
      <c r="AR6" s="21">
        <f>AC6</f>
        <v>614.6167439999991</v>
      </c>
      <c r="AS6" s="21">
        <f>AG6</f>
        <v>168.90523000000005</v>
      </c>
    </row>
    <row r="7" spans="1:45" s="237" customFormat="1" ht="12.75">
      <c r="A7" s="9" t="s">
        <v>137</v>
      </c>
      <c r="B7" s="233"/>
      <c r="C7" s="233"/>
      <c r="D7" s="233"/>
      <c r="E7" s="233"/>
      <c r="F7" s="233"/>
      <c r="G7" s="233"/>
      <c r="H7" s="234"/>
      <c r="I7" s="234"/>
      <c r="J7" s="235"/>
      <c r="K7" s="233"/>
      <c r="L7" s="234"/>
      <c r="M7" s="234"/>
      <c r="N7" s="234"/>
      <c r="O7" s="234"/>
      <c r="P7" s="234"/>
      <c r="Q7" s="234"/>
      <c r="R7" s="234"/>
      <c r="S7" s="234"/>
      <c r="T7" s="234"/>
      <c r="U7" s="234"/>
      <c r="W7" s="234"/>
      <c r="X7" s="234"/>
      <c r="Y7" s="234"/>
      <c r="Z7" s="234"/>
      <c r="AJ7" s="23"/>
      <c r="AK7" s="234"/>
      <c r="AL7" s="14">
        <v>1.1207063143874119</v>
      </c>
      <c r="AM7" s="14">
        <v>0.00914627114379929</v>
      </c>
      <c r="AN7" s="14">
        <v>-0.2776070141719369</v>
      </c>
      <c r="AO7" s="14">
        <f>AO6/AN6-1</f>
        <v>-0.09262665324846575</v>
      </c>
      <c r="AP7" s="14">
        <f>AP6/AO6-1</f>
        <v>0.04119164444765322</v>
      </c>
      <c r="AQ7" s="14">
        <f>AQ6/AP6-1</f>
        <v>0.6521214652243039</v>
      </c>
      <c r="AR7" s="14">
        <f>AR6/AQ6-1</f>
        <v>-0.3610986588284605</v>
      </c>
      <c r="AS7" s="14">
        <f>AS6/AR6-1</f>
        <v>-0.7251860909275842</v>
      </c>
    </row>
    <row r="8" spans="1:45" ht="12.75">
      <c r="A8" s="238" t="s">
        <v>28</v>
      </c>
      <c r="B8" s="21">
        <v>936.54314</v>
      </c>
      <c r="C8" s="21">
        <v>1788.6261399999999</v>
      </c>
      <c r="D8" s="21">
        <v>2539.911230000003</v>
      </c>
      <c r="E8" s="21">
        <v>3431.8622099999993</v>
      </c>
      <c r="F8" s="21">
        <v>852.2936999999997</v>
      </c>
      <c r="G8" s="21">
        <v>1527.4027299999993</v>
      </c>
      <c r="H8" s="21">
        <v>2269.670299999997</v>
      </c>
      <c r="I8" s="21">
        <v>3082.9940399999978</v>
      </c>
      <c r="J8" s="23">
        <v>589.00304</v>
      </c>
      <c r="K8" s="21">
        <v>1524.1964199999998</v>
      </c>
      <c r="L8" s="21">
        <v>2324.986669999998</v>
      </c>
      <c r="M8" s="21">
        <v>3107.98199</v>
      </c>
      <c r="N8" s="21">
        <v>645.2076500000001</v>
      </c>
      <c r="O8" s="21">
        <v>1467.6062600000005</v>
      </c>
      <c r="P8" s="21">
        <v>2529.856572400001</v>
      </c>
      <c r="Q8" s="21">
        <v>3442.9668429999992</v>
      </c>
      <c r="R8" s="21">
        <v>1008.3456769999939</v>
      </c>
      <c r="S8" s="21">
        <v>1833</v>
      </c>
      <c r="T8" s="21">
        <v>2722.8845369999926</v>
      </c>
      <c r="U8" s="21">
        <v>3835.1747870000386</v>
      </c>
      <c r="V8" s="234">
        <v>706.7399899999982</v>
      </c>
      <c r="W8" s="21">
        <v>1854.8368189999976</v>
      </c>
      <c r="X8" s="21">
        <v>2412</v>
      </c>
      <c r="Y8" s="21">
        <v>3100.4365188001498</v>
      </c>
      <c r="Z8" s="21">
        <v>876.2064099999998</v>
      </c>
      <c r="AA8" s="265">
        <v>1718.4185800000187</v>
      </c>
      <c r="AB8" s="265">
        <v>2682.0556300000603</v>
      </c>
      <c r="AC8" s="265">
        <v>3897.866910000006</v>
      </c>
      <c r="AD8" s="265">
        <v>1110.5641000000328</v>
      </c>
      <c r="AE8" s="265">
        <v>2025</v>
      </c>
      <c r="AF8" s="265">
        <v>2782.057830000007</v>
      </c>
      <c r="AG8" s="265">
        <v>4008.6917899999994</v>
      </c>
      <c r="AH8" s="265">
        <v>1293.9727899999998</v>
      </c>
      <c r="AI8" s="265">
        <v>2264.523231</v>
      </c>
      <c r="AJ8" s="23"/>
      <c r="AK8" s="21">
        <v>3203.52379</v>
      </c>
      <c r="AL8" s="21">
        <v>3431.8622099999993</v>
      </c>
      <c r="AM8" s="21">
        <v>3082.9940399999978</v>
      </c>
      <c r="AN8" s="21">
        <v>3107.98199</v>
      </c>
      <c r="AO8" s="21">
        <f>Q8</f>
        <v>3442.9668429999992</v>
      </c>
      <c r="AP8" s="21">
        <f>U8</f>
        <v>3835.1747870000386</v>
      </c>
      <c r="AQ8" s="21">
        <f>Y8</f>
        <v>3100.4365188001498</v>
      </c>
      <c r="AR8" s="21">
        <f>AC8</f>
        <v>3897.866910000006</v>
      </c>
      <c r="AS8" s="21">
        <f>AG8</f>
        <v>4008.6917899999994</v>
      </c>
    </row>
    <row r="9" spans="1:45" s="237" customFormat="1" ht="12.75">
      <c r="A9" s="9" t="s">
        <v>137</v>
      </c>
      <c r="B9" s="233"/>
      <c r="C9" s="233"/>
      <c r="D9" s="233"/>
      <c r="E9" s="233"/>
      <c r="F9" s="233"/>
      <c r="G9" s="233"/>
      <c r="H9" s="234"/>
      <c r="I9" s="234"/>
      <c r="J9" s="235"/>
      <c r="K9" s="233"/>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
      <c r="AK9" s="234"/>
      <c r="AL9" s="14">
        <v>0.07127726683746549</v>
      </c>
      <c r="AM9" s="14">
        <v>-0.10165564601732702</v>
      </c>
      <c r="AN9" s="14">
        <v>0.008105091893074956</v>
      </c>
      <c r="AO9" s="14">
        <f>AO8/AN8-1</f>
        <v>0.10778210880173056</v>
      </c>
      <c r="AP9" s="14">
        <f>AP8/AO8-1</f>
        <v>0.11391569012563951</v>
      </c>
      <c r="AQ9" s="14">
        <f>AQ8/AP8-1</f>
        <v>-0.19157882208925814</v>
      </c>
      <c r="AR9" s="14">
        <f>AR8/AQ8-1</f>
        <v>0.25719939317075813</v>
      </c>
      <c r="AS9" s="14">
        <f>AS8/AR8-1</f>
        <v>0.028432186772634926</v>
      </c>
    </row>
    <row r="10" spans="1:45" ht="12.75">
      <c r="A10" s="238" t="s">
        <v>135</v>
      </c>
      <c r="B10" s="21">
        <v>1230.6555600000004</v>
      </c>
      <c r="C10" s="21">
        <v>2510.65475</v>
      </c>
      <c r="D10" s="21">
        <v>3774.6125580000007</v>
      </c>
      <c r="E10" s="21">
        <v>4985.038530007001</v>
      </c>
      <c r="F10" s="21">
        <v>1292.98629</v>
      </c>
      <c r="G10" s="21">
        <v>2581.701878</v>
      </c>
      <c r="H10" s="21">
        <v>3862.5064210000014</v>
      </c>
      <c r="I10" s="21">
        <v>5190.444566</v>
      </c>
      <c r="J10" s="23">
        <v>1274.4116029999998</v>
      </c>
      <c r="K10" s="21">
        <v>2730.1581419999998</v>
      </c>
      <c r="L10" s="21">
        <v>3985.025304999998</v>
      </c>
      <c r="M10" s="21">
        <v>4764.020275887492</v>
      </c>
      <c r="N10" s="21">
        <v>1158.6123711999999</v>
      </c>
      <c r="O10" s="21">
        <v>2248.203334855384</v>
      </c>
      <c r="P10" s="21">
        <v>3667.8312356</v>
      </c>
      <c r="Q10" s="21">
        <v>4920.2</v>
      </c>
      <c r="R10" s="21">
        <v>1357.8339970000002</v>
      </c>
      <c r="S10" s="21">
        <v>2849</v>
      </c>
      <c r="T10" s="21">
        <v>4305</v>
      </c>
      <c r="U10" s="21">
        <v>5673</v>
      </c>
      <c r="V10" s="21">
        <v>1210.2133239999994</v>
      </c>
      <c r="W10" s="21">
        <v>2324.6211289999997</v>
      </c>
      <c r="X10" s="21">
        <v>3920</v>
      </c>
      <c r="Y10" s="21">
        <v>5649.607766930087</v>
      </c>
      <c r="Z10" s="21">
        <v>1256.905181</v>
      </c>
      <c r="AA10" s="21">
        <v>2491.716134</v>
      </c>
      <c r="AB10" s="21">
        <v>3785.849546999999</v>
      </c>
      <c r="AC10" s="21">
        <v>4989.126629999999</v>
      </c>
      <c r="AD10" s="21">
        <v>1218.4584759999998</v>
      </c>
      <c r="AE10" s="21">
        <v>2580</v>
      </c>
      <c r="AF10" s="21">
        <v>4022.7692669999988</v>
      </c>
      <c r="AG10" s="21">
        <v>5163.051923999999</v>
      </c>
      <c r="AH10" s="21">
        <v>1365.025054</v>
      </c>
      <c r="AI10" s="21">
        <v>2849.6752530000003</v>
      </c>
      <c r="AJ10" s="23"/>
      <c r="AK10" s="21">
        <v>4599.069665</v>
      </c>
      <c r="AL10" s="21">
        <v>4985.038530007001</v>
      </c>
      <c r="AM10" s="21">
        <v>5190.444566</v>
      </c>
      <c r="AN10" s="21">
        <v>4764.020275887492</v>
      </c>
      <c r="AO10" s="21">
        <f>Q10</f>
        <v>4920.2</v>
      </c>
      <c r="AP10" s="21">
        <f>U10</f>
        <v>5673</v>
      </c>
      <c r="AQ10" s="21">
        <f>Y10</f>
        <v>5649.607766930087</v>
      </c>
      <c r="AR10" s="21">
        <f>AC10</f>
        <v>4989.126629999999</v>
      </c>
      <c r="AS10" s="21">
        <f>AG10</f>
        <v>5163.051923999999</v>
      </c>
    </row>
    <row r="11" spans="1:45" s="237" customFormat="1" ht="12.75">
      <c r="A11" s="9" t="s">
        <v>137</v>
      </c>
      <c r="B11" s="233"/>
      <c r="C11" s="233"/>
      <c r="D11" s="233"/>
      <c r="E11" s="233"/>
      <c r="F11" s="233"/>
      <c r="G11" s="233"/>
      <c r="H11" s="234"/>
      <c r="I11" s="234"/>
      <c r="J11" s="235"/>
      <c r="K11" s="233"/>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5"/>
      <c r="AK11" s="234"/>
      <c r="AL11" s="14">
        <v>0.08392324820480868</v>
      </c>
      <c r="AM11" s="14">
        <v>0.04120450318619917</v>
      </c>
      <c r="AN11" s="14">
        <v>-0.08215563901901579</v>
      </c>
      <c r="AO11" s="14">
        <f>AO10/AN10-1</f>
        <v>0.032783177876675396</v>
      </c>
      <c r="AP11" s="14">
        <f>AP10/AO10-1</f>
        <v>0.15300191049144352</v>
      </c>
      <c r="AQ11" s="14">
        <f>AQ10/AP10-1</f>
        <v>-0.004123432587680775</v>
      </c>
      <c r="AR11" s="14">
        <f>AR10/AQ10-1</f>
        <v>-0.11690743219311728</v>
      </c>
      <c r="AS11" s="14">
        <f>AS10/AR10-1</f>
        <v>0.0348608698272308</v>
      </c>
    </row>
    <row r="12" spans="1:45" s="237" customFormat="1" ht="12.75">
      <c r="A12" s="238" t="s">
        <v>219</v>
      </c>
      <c r="B12" s="233"/>
      <c r="C12" s="233"/>
      <c r="D12" s="233"/>
      <c r="E12" s="233"/>
      <c r="F12" s="233"/>
      <c r="G12" s="233"/>
      <c r="H12" s="234"/>
      <c r="I12" s="234"/>
      <c r="J12" s="235"/>
      <c r="K12" s="233"/>
      <c r="L12" s="234"/>
      <c r="M12" s="234"/>
      <c r="N12" s="234"/>
      <c r="O12" s="234"/>
      <c r="P12" s="234"/>
      <c r="Q12" s="234"/>
      <c r="R12" s="234"/>
      <c r="S12" s="234"/>
      <c r="T12" s="234"/>
      <c r="U12" s="234"/>
      <c r="V12" s="21">
        <v>329.668266</v>
      </c>
      <c r="W12" s="21">
        <v>697.9708600000001</v>
      </c>
      <c r="X12" s="21">
        <v>949.8683769999999</v>
      </c>
      <c r="Y12" s="21">
        <v>1167.1851449999997</v>
      </c>
      <c r="Z12" s="21">
        <v>197</v>
      </c>
      <c r="AA12" s="21">
        <v>427.047982</v>
      </c>
      <c r="AB12" s="21">
        <v>682</v>
      </c>
      <c r="AC12" s="21">
        <v>851.9842519999993</v>
      </c>
      <c r="AD12" s="21">
        <v>166.20392100000015</v>
      </c>
      <c r="AE12" s="21">
        <v>386.41818200000006</v>
      </c>
      <c r="AF12" s="21">
        <v>570</v>
      </c>
      <c r="AG12" s="21">
        <v>778.3</v>
      </c>
      <c r="AH12" s="21">
        <v>174.67409</v>
      </c>
      <c r="AI12" s="21">
        <v>200.62190600000008</v>
      </c>
      <c r="AJ12" s="235"/>
      <c r="AK12" s="234"/>
      <c r="AL12" s="14"/>
      <c r="AM12" s="14"/>
      <c r="AN12" s="14"/>
      <c r="AO12" s="14"/>
      <c r="AP12" s="14"/>
      <c r="AQ12" s="21">
        <f>Y12</f>
        <v>1167.1851449999997</v>
      </c>
      <c r="AR12" s="21">
        <f>AC12</f>
        <v>851.9842519999993</v>
      </c>
      <c r="AS12" s="21">
        <f>AG12</f>
        <v>778.3</v>
      </c>
    </row>
    <row r="13" spans="1:45" s="237" customFormat="1" ht="12.75">
      <c r="A13" s="9" t="s">
        <v>137</v>
      </c>
      <c r="B13" s="233"/>
      <c r="C13" s="233"/>
      <c r="D13" s="233"/>
      <c r="E13" s="233"/>
      <c r="F13" s="233"/>
      <c r="G13" s="233"/>
      <c r="H13" s="234"/>
      <c r="I13" s="234"/>
      <c r="J13" s="235"/>
      <c r="K13" s="233"/>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5"/>
      <c r="AK13" s="234"/>
      <c r="AL13" s="14"/>
      <c r="AM13" s="14"/>
      <c r="AN13" s="14"/>
      <c r="AO13" s="14"/>
      <c r="AP13" s="14"/>
      <c r="AQ13" s="14"/>
      <c r="AR13" s="14">
        <f>AR12/AQ12-1</f>
        <v>-0.2700521801106375</v>
      </c>
      <c r="AS13" s="14">
        <f>AS12/AR12-1</f>
        <v>-0.08648546240969646</v>
      </c>
    </row>
    <row r="14" spans="1:45" ht="12.75">
      <c r="A14" s="18"/>
      <c r="B14" s="19"/>
      <c r="C14" s="19"/>
      <c r="D14" s="19"/>
      <c r="E14" s="19"/>
      <c r="F14" s="19"/>
      <c r="G14" s="19"/>
      <c r="H14" s="19"/>
      <c r="I14" s="19"/>
      <c r="J14" s="44"/>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44"/>
      <c r="AK14" s="19"/>
      <c r="AL14" s="19"/>
      <c r="AM14" s="19"/>
      <c r="AN14" s="19"/>
      <c r="AO14" s="19"/>
      <c r="AP14" s="19"/>
      <c r="AQ14" s="19"/>
      <c r="AR14" s="19"/>
      <c r="AS14" s="19"/>
    </row>
    <row r="15" spans="1:45" ht="12.75">
      <c r="A15" s="20" t="s">
        <v>234</v>
      </c>
      <c r="B15" s="3" t="s">
        <v>6</v>
      </c>
      <c r="C15" s="4" t="s">
        <v>20</v>
      </c>
      <c r="D15" s="4" t="s">
        <v>21</v>
      </c>
      <c r="E15" s="4" t="s">
        <v>22</v>
      </c>
      <c r="F15" s="3" t="s">
        <v>0</v>
      </c>
      <c r="G15" s="3" t="s">
        <v>19</v>
      </c>
      <c r="H15" s="4" t="s">
        <v>18</v>
      </c>
      <c r="I15" s="4" t="s">
        <v>136</v>
      </c>
      <c r="J15" s="5" t="s">
        <v>160</v>
      </c>
      <c r="K15" s="3" t="s">
        <v>163</v>
      </c>
      <c r="L15" s="3" t="s">
        <v>164</v>
      </c>
      <c r="M15" s="4" t="s">
        <v>165</v>
      </c>
      <c r="N15" s="4" t="s">
        <v>172</v>
      </c>
      <c r="O15" s="4" t="s">
        <v>181</v>
      </c>
      <c r="P15" s="4" t="s">
        <v>183</v>
      </c>
      <c r="Q15" s="4" t="s">
        <v>185</v>
      </c>
      <c r="R15" s="4" t="s">
        <v>187</v>
      </c>
      <c r="S15" s="4" t="s">
        <v>202</v>
      </c>
      <c r="T15" s="4" t="s">
        <v>205</v>
      </c>
      <c r="U15" s="4" t="s">
        <v>206</v>
      </c>
      <c r="V15" s="4" t="s">
        <v>210</v>
      </c>
      <c r="W15" s="4" t="s">
        <v>211</v>
      </c>
      <c r="X15" s="4" t="s">
        <v>215</v>
      </c>
      <c r="Y15" s="4" t="s">
        <v>218</v>
      </c>
      <c r="Z15" s="4" t="s">
        <v>225</v>
      </c>
      <c r="AA15" s="4" t="s">
        <v>231</v>
      </c>
      <c r="AB15" s="4" t="s">
        <v>241</v>
      </c>
      <c r="AC15" s="4" t="s">
        <v>244</v>
      </c>
      <c r="AD15" s="4" t="s">
        <v>245</v>
      </c>
      <c r="AE15" s="4" t="s">
        <v>247</v>
      </c>
      <c r="AF15" s="4" t="s">
        <v>252</v>
      </c>
      <c r="AG15" s="4" t="s">
        <v>259</v>
      </c>
      <c r="AH15" s="4" t="s">
        <v>266</v>
      </c>
      <c r="AI15" s="4" t="s">
        <v>269</v>
      </c>
      <c r="AJ15" s="6"/>
      <c r="AK15" s="4">
        <v>2005</v>
      </c>
      <c r="AL15" s="4">
        <v>2006</v>
      </c>
      <c r="AM15" s="4">
        <v>2007</v>
      </c>
      <c r="AN15" s="4">
        <v>2008</v>
      </c>
      <c r="AO15" s="4">
        <v>2009</v>
      </c>
      <c r="AP15" s="4">
        <v>2010</v>
      </c>
      <c r="AQ15" s="4">
        <v>2011</v>
      </c>
      <c r="AR15" s="4">
        <v>2012</v>
      </c>
      <c r="AS15" s="4">
        <v>2013</v>
      </c>
    </row>
    <row r="16" spans="1:45" s="239" customFormat="1" ht="12.75">
      <c r="A16" s="216" t="s">
        <v>236</v>
      </c>
      <c r="B16" s="23">
        <v>434.78325975510427</v>
      </c>
      <c r="C16" s="23">
        <v>475.7932987839746</v>
      </c>
      <c r="D16" s="23">
        <v>522.3292936229884</v>
      </c>
      <c r="E16" s="23">
        <v>540.2174822600432</v>
      </c>
      <c r="F16" s="23">
        <v>558.4462144415978</v>
      </c>
      <c r="G16" s="23">
        <v>616.2660467144801</v>
      </c>
      <c r="H16" s="23">
        <v>634.2776397612379</v>
      </c>
      <c r="I16" s="23">
        <v>636.3528290186661</v>
      </c>
      <c r="J16" s="23">
        <v>698.7036216409252</v>
      </c>
      <c r="K16" s="23">
        <v>824.8700259034841</v>
      </c>
      <c r="L16" s="23">
        <v>931.1111412067155</v>
      </c>
      <c r="M16" s="23">
        <v>914.7564689084691</v>
      </c>
      <c r="N16" s="23">
        <v>462.6234573154756</v>
      </c>
      <c r="O16" s="23">
        <v>428.9303107955245</v>
      </c>
      <c r="P16" s="23">
        <v>430</v>
      </c>
      <c r="Q16" s="23">
        <v>456.4266217404782</v>
      </c>
      <c r="R16" s="23">
        <v>521.6227430116118</v>
      </c>
      <c r="S16" s="23">
        <v>580.70037735535</v>
      </c>
      <c r="T16" s="23">
        <v>649.2315184697724</v>
      </c>
      <c r="U16" s="23">
        <v>613.9900327229435</v>
      </c>
      <c r="V16" s="23">
        <v>720.3045366467759</v>
      </c>
      <c r="W16" s="23">
        <v>765.53766521075</v>
      </c>
      <c r="X16" s="23">
        <v>760.3008291909389</v>
      </c>
      <c r="Y16" s="23">
        <v>738.8526897724673</v>
      </c>
      <c r="Z16" s="23">
        <v>639.8664341782793</v>
      </c>
      <c r="AA16" s="23">
        <v>642.8083312418755</v>
      </c>
      <c r="AB16" s="23">
        <v>635.4387858988831</v>
      </c>
      <c r="AC16" s="23">
        <v>618.746488607022</v>
      </c>
      <c r="AD16" s="23">
        <v>583.7923670285759</v>
      </c>
      <c r="AE16" s="23">
        <v>594.6731488662555</v>
      </c>
      <c r="AF16" s="23">
        <v>580.0549891580785</v>
      </c>
      <c r="AG16" s="23">
        <v>577.6964230449988</v>
      </c>
      <c r="AH16" s="23">
        <v>560.7360067650343</v>
      </c>
      <c r="AI16" s="23">
        <v>588.7666962770378</v>
      </c>
      <c r="AJ16" s="23"/>
      <c r="AK16" s="23">
        <v>488.89084451523024</v>
      </c>
      <c r="AL16" s="23">
        <v>540.2174822600432</v>
      </c>
      <c r="AM16" s="23">
        <v>636.3528290186661</v>
      </c>
      <c r="AN16" s="23">
        <v>914.7564689084691</v>
      </c>
      <c r="AO16" s="23">
        <f>Q16</f>
        <v>456.4266217404782</v>
      </c>
      <c r="AP16" s="23">
        <f>U16</f>
        <v>613.9900327229435</v>
      </c>
      <c r="AQ16" s="23">
        <f>Y16</f>
        <v>738.8526897724673</v>
      </c>
      <c r="AR16" s="23">
        <f>AC16</f>
        <v>618.746488607022</v>
      </c>
      <c r="AS16" s="23">
        <f>AG16</f>
        <v>577.6964230449988</v>
      </c>
    </row>
    <row r="17" spans="1:45" s="237" customFormat="1" ht="12.75">
      <c r="A17" s="9" t="s">
        <v>137</v>
      </c>
      <c r="B17" s="233"/>
      <c r="C17" s="233"/>
      <c r="D17" s="233"/>
      <c r="E17" s="233"/>
      <c r="F17" s="233"/>
      <c r="G17" s="233"/>
      <c r="H17" s="234"/>
      <c r="I17" s="234"/>
      <c r="J17" s="240"/>
      <c r="K17" s="233"/>
      <c r="L17" s="234"/>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0"/>
      <c r="AK17" s="234"/>
      <c r="AL17" s="14">
        <v>0.1049858845192877</v>
      </c>
      <c r="AM17" s="14">
        <v>0.17795674874576983</v>
      </c>
      <c r="AN17" s="14">
        <v>0.4374988641429245</v>
      </c>
      <c r="AO17" s="242">
        <f>AO16/AN16-1</f>
        <v>-0.5010402907725724</v>
      </c>
      <c r="AP17" s="242">
        <f>AP16/AO16-1</f>
        <v>0.34521082574376005</v>
      </c>
      <c r="AQ17" s="242">
        <f>AQ16/AP16-1</f>
        <v>0.2033626775597297</v>
      </c>
      <c r="AR17" s="242">
        <f>AR16/AQ16-1</f>
        <v>-0.16255770984935103</v>
      </c>
      <c r="AS17" s="242">
        <f>AS16/AR16-1</f>
        <v>-0.06634391680256446</v>
      </c>
    </row>
    <row r="18" spans="1:45" s="1" customFormat="1" ht="12.75">
      <c r="A18" s="238" t="s">
        <v>27</v>
      </c>
      <c r="B18" s="23">
        <v>191.35725921002611</v>
      </c>
      <c r="C18" s="23">
        <v>218.6065019003744</v>
      </c>
      <c r="D18" s="23">
        <v>242.28645973353812</v>
      </c>
      <c r="E18" s="23">
        <v>247.0831739533526</v>
      </c>
      <c r="F18" s="23">
        <v>283.2344711943401</v>
      </c>
      <c r="G18" s="23">
        <v>291.37807576332466</v>
      </c>
      <c r="H18" s="23">
        <v>300.01036549307526</v>
      </c>
      <c r="I18" s="23">
        <v>314.15885509800654</v>
      </c>
      <c r="J18" s="23">
        <v>404.8208378894203</v>
      </c>
      <c r="K18" s="23">
        <v>470.255264972337</v>
      </c>
      <c r="L18" s="23">
        <v>559.4752388909463</v>
      </c>
      <c r="M18" s="23">
        <v>520.3041503304856</v>
      </c>
      <c r="N18" s="23">
        <v>214.31683362155974</v>
      </c>
      <c r="O18" s="23">
        <v>208.61884089328979</v>
      </c>
      <c r="P18" s="23">
        <v>237.92019577129764</v>
      </c>
      <c r="Q18" s="23">
        <v>239.07420938942914</v>
      </c>
      <c r="R18" s="23">
        <v>334.95588698526296</v>
      </c>
      <c r="S18" s="23">
        <v>395.681050779596</v>
      </c>
      <c r="T18" s="23">
        <v>405.92437153538947</v>
      </c>
      <c r="U18" s="23">
        <v>397.795838384352</v>
      </c>
      <c r="V18" s="23">
        <v>467.88642679072984</v>
      </c>
      <c r="W18" s="23">
        <v>482.1013194243797</v>
      </c>
      <c r="X18" s="23">
        <v>483.98860629940407</v>
      </c>
      <c r="Y18" s="23">
        <v>470.7999567396114</v>
      </c>
      <c r="Z18" s="23">
        <v>427.59669554638316</v>
      </c>
      <c r="AA18" s="23">
        <v>420.47277750375264</v>
      </c>
      <c r="AB18" s="23">
        <v>406.75674116544735</v>
      </c>
      <c r="AC18" s="23">
        <v>403.11526010655075</v>
      </c>
      <c r="AD18" s="23">
        <v>380.24837381498133</v>
      </c>
      <c r="AE18" s="23">
        <v>383.368495398525</v>
      </c>
      <c r="AF18" s="23">
        <v>382.06645847580376</v>
      </c>
      <c r="AG18" s="23">
        <v>385.517038477691</v>
      </c>
      <c r="AH18" s="23">
        <v>360.54391844722835</v>
      </c>
      <c r="AI18" s="23">
        <v>369.2545501971363</v>
      </c>
      <c r="AJ18" s="23"/>
      <c r="AK18" s="23">
        <v>233.82124686899405</v>
      </c>
      <c r="AL18" s="23">
        <v>247.0831739533526</v>
      </c>
      <c r="AM18" s="23">
        <v>314.15885509800654</v>
      </c>
      <c r="AN18" s="23">
        <v>520.3041503304856</v>
      </c>
      <c r="AO18" s="23">
        <f>Q18</f>
        <v>239.07420938942914</v>
      </c>
      <c r="AP18" s="23">
        <f>U18</f>
        <v>397.795838384352</v>
      </c>
      <c r="AQ18" s="23">
        <f>Y18</f>
        <v>470.7999567396114</v>
      </c>
      <c r="AR18" s="23">
        <f>AC18</f>
        <v>403.11526010655075</v>
      </c>
      <c r="AS18" s="23">
        <f>AG18</f>
        <v>385.517038477691</v>
      </c>
    </row>
    <row r="19" spans="1:45" s="237" customFormat="1" ht="12.75">
      <c r="A19" s="9" t="s">
        <v>137</v>
      </c>
      <c r="B19" s="234"/>
      <c r="C19" s="234"/>
      <c r="D19" s="234"/>
      <c r="E19" s="233"/>
      <c r="F19" s="233"/>
      <c r="G19" s="233"/>
      <c r="H19" s="234"/>
      <c r="I19" s="234"/>
      <c r="J19" s="240"/>
      <c r="K19" s="233"/>
      <c r="L19" s="234"/>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0"/>
      <c r="AK19" s="234"/>
      <c r="AL19" s="14">
        <v>0.05671822925394365</v>
      </c>
      <c r="AM19" s="14">
        <v>0.27147004820861387</v>
      </c>
      <c r="AN19" s="14">
        <v>0.6561817115362514</v>
      </c>
      <c r="AO19" s="242">
        <f>AO18/AN18-1</f>
        <v>-0.5405106623931897</v>
      </c>
      <c r="AP19" s="242">
        <f>AP18/AO18-1</f>
        <v>0.6639010933060556</v>
      </c>
      <c r="AQ19" s="242">
        <f>AQ18/AP18-1</f>
        <v>0.18352157391028934</v>
      </c>
      <c r="AR19" s="242">
        <f>AR18/AQ18-1</f>
        <v>-0.14376529917672765</v>
      </c>
      <c r="AS19" s="242">
        <f>AS18/AR18-1</f>
        <v>-0.043655558026278185</v>
      </c>
    </row>
    <row r="20" spans="1:45" s="1" customFormat="1" ht="12.75">
      <c r="A20" s="238" t="s">
        <v>28</v>
      </c>
      <c r="B20" s="23">
        <v>260.87332515873453</v>
      </c>
      <c r="C20" s="23">
        <v>305.5652224374704</v>
      </c>
      <c r="D20" s="23">
        <v>358.0732407204238</v>
      </c>
      <c r="E20" s="23">
        <v>376.4606286676811</v>
      </c>
      <c r="F20" s="23">
        <v>389.47563459839307</v>
      </c>
      <c r="G20" s="23">
        <v>433.46572861479547</v>
      </c>
      <c r="H20" s="23">
        <v>455.28150485954257</v>
      </c>
      <c r="I20" s="23">
        <v>466.38991250910203</v>
      </c>
      <c r="J20" s="23">
        <v>527.6387751085806</v>
      </c>
      <c r="K20" s="23">
        <v>671.9462641633907</v>
      </c>
      <c r="L20" s="23">
        <v>779.2643167355551</v>
      </c>
      <c r="M20" s="23">
        <v>757.2095516903288</v>
      </c>
      <c r="N20" s="23">
        <v>333.504214495766</v>
      </c>
      <c r="O20" s="23">
        <v>309.52500058064163</v>
      </c>
      <c r="P20" s="23">
        <v>317.5295032493165</v>
      </c>
      <c r="Q20" s="23">
        <v>340.3915713181932</v>
      </c>
      <c r="R20" s="23">
        <v>387.0396747431016</v>
      </c>
      <c r="S20" s="23">
        <v>457.97285770254626</v>
      </c>
      <c r="T20" s="23">
        <v>494.97485576717503</v>
      </c>
      <c r="U20" s="23">
        <v>497.3998891194321</v>
      </c>
      <c r="V20" s="23">
        <v>564.6217069538671</v>
      </c>
      <c r="W20" s="23">
        <v>652.4303993797391</v>
      </c>
      <c r="X20" s="23">
        <v>646.4044178817469</v>
      </c>
      <c r="Y20" s="23">
        <v>627.1444647725374</v>
      </c>
      <c r="Z20" s="23">
        <v>528.6576729038819</v>
      </c>
      <c r="AA20" s="23">
        <v>534.4504860449019</v>
      </c>
      <c r="AB20" s="23">
        <v>524.8985735262244</v>
      </c>
      <c r="AC20" s="23">
        <v>508.1315678526729</v>
      </c>
      <c r="AD20" s="23">
        <v>488.88812883062195</v>
      </c>
      <c r="AE20" s="213">
        <v>506.2642508256875</v>
      </c>
      <c r="AF20" s="213">
        <v>490.1019157885406</v>
      </c>
      <c r="AG20" s="213">
        <v>491.11886056708414</v>
      </c>
      <c r="AH20" s="23">
        <v>505.920681080662</v>
      </c>
      <c r="AI20" s="23">
        <v>528.6186213336241</v>
      </c>
      <c r="AJ20" s="23"/>
      <c r="AK20" s="23">
        <v>331.92547308686244</v>
      </c>
      <c r="AL20" s="23">
        <v>376.4606286676811</v>
      </c>
      <c r="AM20" s="23">
        <v>466.38991250910203</v>
      </c>
      <c r="AN20" s="23">
        <v>757.2095516903288</v>
      </c>
      <c r="AO20" s="23">
        <f>Q20</f>
        <v>340.3915713181932</v>
      </c>
      <c r="AP20" s="23">
        <f>U20</f>
        <v>497.3998891194321</v>
      </c>
      <c r="AQ20" s="23">
        <f>Y20</f>
        <v>627.1444647725374</v>
      </c>
      <c r="AR20" s="23">
        <f>AC20</f>
        <v>508.1315678526729</v>
      </c>
      <c r="AS20" s="23">
        <f>AG20</f>
        <v>491.11886056708414</v>
      </c>
    </row>
    <row r="21" spans="1:45" s="237" customFormat="1" ht="12.75">
      <c r="A21" s="9" t="s">
        <v>137</v>
      </c>
      <c r="B21" s="234"/>
      <c r="C21" s="234"/>
      <c r="D21" s="234"/>
      <c r="E21" s="233"/>
      <c r="F21" s="233"/>
      <c r="G21" s="233"/>
      <c r="H21" s="234"/>
      <c r="I21" s="234"/>
      <c r="J21" s="240"/>
      <c r="K21" s="233"/>
      <c r="L21" s="234"/>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0"/>
      <c r="AK21" s="234"/>
      <c r="AL21" s="14">
        <v>0.13417215366644708</v>
      </c>
      <c r="AM21" s="14">
        <v>0.23888097982433543</v>
      </c>
      <c r="AN21" s="14">
        <v>0.6235547368867056</v>
      </c>
      <c r="AO21" s="242">
        <f>AO20/AN20-1</f>
        <v>-0.5504658247398853</v>
      </c>
      <c r="AP21" s="242">
        <f>AP20/AO20-1</f>
        <v>0.46125794828941213</v>
      </c>
      <c r="AQ21" s="242">
        <f>AQ20/AP20-1</f>
        <v>0.26084560630441156</v>
      </c>
      <c r="AR21" s="242">
        <f>AR20/AQ20-1</f>
        <v>-0.18976950862992936</v>
      </c>
      <c r="AS21" s="242">
        <f>AS20/AR20-1</f>
        <v>-0.03348090998849618</v>
      </c>
    </row>
    <row r="22" spans="1:45" s="1" customFormat="1" ht="12.75">
      <c r="A22" s="238" t="s">
        <v>135</v>
      </c>
      <c r="B22" s="23">
        <v>609.1357021351446</v>
      </c>
      <c r="C22" s="23">
        <v>655.7381246030482</v>
      </c>
      <c r="D22" s="23">
        <v>701.2341370589303</v>
      </c>
      <c r="E22" s="23">
        <v>722.9205823707167</v>
      </c>
      <c r="F22" s="23">
        <v>749.8740976153334</v>
      </c>
      <c r="G22" s="23">
        <v>794.6651949163245</v>
      </c>
      <c r="H22" s="23">
        <v>810.0112239640883</v>
      </c>
      <c r="I22" s="23">
        <v>814.5944535085581</v>
      </c>
      <c r="J22" s="23">
        <v>863.3716287479957</v>
      </c>
      <c r="K22" s="23">
        <v>988.0509476906465</v>
      </c>
      <c r="L22" s="23">
        <v>1095.6180152984994</v>
      </c>
      <c r="M22" s="23">
        <v>1092.2304720453387</v>
      </c>
      <c r="N22" s="23">
        <v>546.9367301289642</v>
      </c>
      <c r="O22" s="23">
        <v>536.5728007886163</v>
      </c>
      <c r="P22" s="23">
        <v>540.7292887384257</v>
      </c>
      <c r="Q22" s="23">
        <v>579.6847556857713</v>
      </c>
      <c r="R22" s="23">
        <v>655.9020571133456</v>
      </c>
      <c r="S22" s="23">
        <v>703.430457614787</v>
      </c>
      <c r="T22" s="23">
        <v>775.3529547282235</v>
      </c>
      <c r="U22" s="23">
        <v>739.8692531760333</v>
      </c>
      <c r="V22" s="23">
        <v>837.0271648704431</v>
      </c>
      <c r="W22" s="23">
        <v>897.8433561700466</v>
      </c>
      <c r="X22" s="23">
        <v>904.2092469246562</v>
      </c>
      <c r="Y22" s="23">
        <v>888.2562049150828</v>
      </c>
      <c r="Z22" s="23">
        <v>818.5986556296403</v>
      </c>
      <c r="AA22" s="23">
        <v>817.0511267233823</v>
      </c>
      <c r="AB22" s="23">
        <v>802.8704348906859</v>
      </c>
      <c r="AC22" s="23">
        <v>784.8600863068605</v>
      </c>
      <c r="AD22" s="23">
        <v>717.2681376916469</v>
      </c>
      <c r="AE22" s="23">
        <v>708.7197175792135</v>
      </c>
      <c r="AF22" s="23">
        <v>692.4235588360341</v>
      </c>
      <c r="AG22" s="23">
        <v>690.2922208095214</v>
      </c>
      <c r="AH22" s="23">
        <v>627.6710666176348</v>
      </c>
      <c r="AI22" s="23">
        <v>654.1049660475325</v>
      </c>
      <c r="AJ22" s="23"/>
      <c r="AK22" s="23">
        <v>620.3366904098496</v>
      </c>
      <c r="AL22" s="23">
        <v>722.9205823707167</v>
      </c>
      <c r="AM22" s="23">
        <v>814.5944535085581</v>
      </c>
      <c r="AN22" s="23">
        <v>1092.2304720453387</v>
      </c>
      <c r="AO22" s="23">
        <f>Q22</f>
        <v>579.6847556857713</v>
      </c>
      <c r="AP22" s="23">
        <f>U22</f>
        <v>739.8692531760333</v>
      </c>
      <c r="AQ22" s="23">
        <f>Y22</f>
        <v>888.2562049150828</v>
      </c>
      <c r="AR22" s="23">
        <f>AC22</f>
        <v>784.8600863068605</v>
      </c>
      <c r="AS22" s="23">
        <f>AG22</f>
        <v>690.2922208095214</v>
      </c>
    </row>
    <row r="23" spans="1:45" s="237" customFormat="1" ht="12.75">
      <c r="A23" s="9" t="s">
        <v>137</v>
      </c>
      <c r="B23" s="233"/>
      <c r="C23" s="233"/>
      <c r="D23" s="233"/>
      <c r="E23" s="233"/>
      <c r="F23" s="233"/>
      <c r="G23" s="233"/>
      <c r="H23" s="234"/>
      <c r="I23" s="234"/>
      <c r="J23" s="235"/>
      <c r="K23" s="233"/>
      <c r="L23" s="234"/>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35"/>
      <c r="AK23" s="234"/>
      <c r="AL23" s="14">
        <v>0.16536808727707397</v>
      </c>
      <c r="AM23" s="14">
        <v>0.12681043170359008</v>
      </c>
      <c r="AN23" s="14">
        <v>0.34082728815666274</v>
      </c>
      <c r="AO23" s="242">
        <f>AO22/AN22-1</f>
        <v>-0.46926516836667376</v>
      </c>
      <c r="AP23" s="242">
        <f>AP22/AO22-1</f>
        <v>0.27633036045731907</v>
      </c>
      <c r="AQ23" s="242">
        <f>AQ22/AP22-1</f>
        <v>0.2005583433857665</v>
      </c>
      <c r="AR23" s="242">
        <f>AR22/AQ22-1</f>
        <v>-0.11640348588176419</v>
      </c>
      <c r="AS23" s="242">
        <f>AS22/AR22-1</f>
        <v>-0.1204900938998259</v>
      </c>
    </row>
    <row r="24" spans="1:45" s="237" customFormat="1" ht="12.75">
      <c r="A24" s="204" t="s">
        <v>237</v>
      </c>
      <c r="B24" s="233"/>
      <c r="C24" s="233"/>
      <c r="D24" s="233"/>
      <c r="E24" s="233"/>
      <c r="F24" s="233"/>
      <c r="G24" s="233"/>
      <c r="H24" s="234"/>
      <c r="I24" s="234"/>
      <c r="J24" s="235"/>
      <c r="K24" s="233"/>
      <c r="L24" s="234"/>
      <c r="M24" s="241"/>
      <c r="N24" s="241"/>
      <c r="O24" s="241"/>
      <c r="P24" s="241"/>
      <c r="Q24" s="241"/>
      <c r="R24" s="241"/>
      <c r="S24" s="241"/>
      <c r="T24" s="241"/>
      <c r="U24" s="241"/>
      <c r="V24" s="241"/>
      <c r="W24" s="241"/>
      <c r="X24" s="23">
        <v>356.6739150491236</v>
      </c>
      <c r="Y24" s="23">
        <v>331.6720976421789</v>
      </c>
      <c r="Z24" s="23">
        <v>229.9675368052257</v>
      </c>
      <c r="AA24" s="23">
        <v>227.29546045553656</v>
      </c>
      <c r="AB24" s="23">
        <v>202.8401480169281</v>
      </c>
      <c r="AC24" s="23">
        <v>227.8515693950057</v>
      </c>
      <c r="AD24" s="23">
        <v>268.4241019724042</v>
      </c>
      <c r="AE24" s="23">
        <v>247.7862058912444</v>
      </c>
      <c r="AF24" s="23">
        <v>253.36569327343557</v>
      </c>
      <c r="AG24" s="23">
        <v>249.64666581009902</v>
      </c>
      <c r="AH24" s="23">
        <v>260.29137779140865</v>
      </c>
      <c r="AI24" s="23">
        <v>262.56327555187846</v>
      </c>
      <c r="AJ24" s="235"/>
      <c r="AK24" s="234"/>
      <c r="AL24" s="14"/>
      <c r="AM24" s="14"/>
      <c r="AN24" s="14"/>
      <c r="AO24" s="242"/>
      <c r="AP24" s="242"/>
      <c r="AQ24" s="23">
        <f>Y24</f>
        <v>331.6720976421789</v>
      </c>
      <c r="AR24" s="23">
        <f>AC24</f>
        <v>227.8515693950057</v>
      </c>
      <c r="AS24" s="23">
        <f>AG24</f>
        <v>249.64666581009902</v>
      </c>
    </row>
    <row r="25" spans="1:45" s="237" customFormat="1" ht="12.75">
      <c r="A25" s="9" t="s">
        <v>137</v>
      </c>
      <c r="B25" s="233"/>
      <c r="C25" s="233"/>
      <c r="D25" s="233"/>
      <c r="E25" s="233"/>
      <c r="F25" s="233"/>
      <c r="G25" s="233"/>
      <c r="H25" s="234"/>
      <c r="I25" s="234"/>
      <c r="J25" s="235"/>
      <c r="K25" s="233"/>
      <c r="L25" s="234"/>
      <c r="M25" s="241"/>
      <c r="N25" s="241"/>
      <c r="O25" s="241"/>
      <c r="P25" s="241"/>
      <c r="Q25" s="241"/>
      <c r="R25" s="241"/>
      <c r="S25" s="241"/>
      <c r="T25" s="241"/>
      <c r="U25" s="241"/>
      <c r="V25" s="241"/>
      <c r="W25" s="241"/>
      <c r="X25" s="23"/>
      <c r="Y25" s="23"/>
      <c r="Z25" s="23"/>
      <c r="AA25" s="23"/>
      <c r="AB25" s="23"/>
      <c r="AC25" s="23"/>
      <c r="AD25" s="23"/>
      <c r="AE25" s="23"/>
      <c r="AF25" s="23"/>
      <c r="AG25" s="23"/>
      <c r="AH25" s="23"/>
      <c r="AI25" s="23"/>
      <c r="AJ25" s="235"/>
      <c r="AK25" s="234"/>
      <c r="AL25" s="14"/>
      <c r="AM25" s="14"/>
      <c r="AN25" s="14"/>
      <c r="AO25" s="242"/>
      <c r="AP25" s="242"/>
      <c r="AQ25" s="242"/>
      <c r="AR25" s="242">
        <f>AR24/AQ24-1</f>
        <v>-0.3130215926670411</v>
      </c>
      <c r="AS25" s="242">
        <f>AS24/AR24-1</f>
        <v>0.09565480050439823</v>
      </c>
    </row>
    <row r="26" spans="1:45" ht="12.75">
      <c r="A26" s="18"/>
      <c r="B26" s="27"/>
      <c r="C26" s="27"/>
      <c r="D26" s="27"/>
      <c r="E26" s="27"/>
      <c r="F26" s="27"/>
      <c r="G26" s="27"/>
      <c r="H26" s="28"/>
      <c r="I26" s="28"/>
      <c r="J26" s="26"/>
      <c r="K26" s="27"/>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26"/>
      <c r="AK26" s="19"/>
      <c r="AL26" s="19"/>
      <c r="AM26" s="19"/>
      <c r="AN26" s="19"/>
      <c r="AO26" s="19"/>
      <c r="AP26" s="19"/>
      <c r="AQ26" s="19"/>
      <c r="AR26" s="19"/>
      <c r="AS26" s="19"/>
    </row>
    <row r="27" spans="1:45" ht="12.75">
      <c r="A27" s="2" t="s">
        <v>1</v>
      </c>
      <c r="B27" s="3" t="s">
        <v>6</v>
      </c>
      <c r="C27" s="4" t="s">
        <v>20</v>
      </c>
      <c r="D27" s="4" t="s">
        <v>21</v>
      </c>
      <c r="E27" s="4" t="s">
        <v>22</v>
      </c>
      <c r="F27" s="3" t="s">
        <v>0</v>
      </c>
      <c r="G27" s="3" t="s">
        <v>19</v>
      </c>
      <c r="H27" s="4" t="s">
        <v>18</v>
      </c>
      <c r="I27" s="4" t="s">
        <v>136</v>
      </c>
      <c r="J27" s="5" t="s">
        <v>160</v>
      </c>
      <c r="K27" s="3" t="s">
        <v>163</v>
      </c>
      <c r="L27" s="3" t="s">
        <v>164</v>
      </c>
      <c r="M27" s="4" t="s">
        <v>165</v>
      </c>
      <c r="N27" s="4" t="s">
        <v>172</v>
      </c>
      <c r="O27" s="4" t="s">
        <v>181</v>
      </c>
      <c r="P27" s="4" t="s">
        <v>183</v>
      </c>
      <c r="Q27" s="4" t="s">
        <v>185</v>
      </c>
      <c r="R27" s="4" t="s">
        <v>187</v>
      </c>
      <c r="S27" s="4" t="s">
        <v>202</v>
      </c>
      <c r="T27" s="4" t="s">
        <v>205</v>
      </c>
      <c r="U27" s="4" t="s">
        <v>206</v>
      </c>
      <c r="V27" s="4" t="s">
        <v>210</v>
      </c>
      <c r="W27" s="4" t="s">
        <v>211</v>
      </c>
      <c r="X27" s="4" t="s">
        <v>215</v>
      </c>
      <c r="Y27" s="4" t="s">
        <v>218</v>
      </c>
      <c r="Z27" s="4" t="s">
        <v>225</v>
      </c>
      <c r="AA27" s="4" t="s">
        <v>231</v>
      </c>
      <c r="AB27" s="4" t="s">
        <v>241</v>
      </c>
      <c r="AC27" s="4" t="s">
        <v>244</v>
      </c>
      <c r="AD27" s="4" t="s">
        <v>245</v>
      </c>
      <c r="AE27" s="4" t="s">
        <v>247</v>
      </c>
      <c r="AF27" s="4" t="s">
        <v>252</v>
      </c>
      <c r="AG27" s="4" t="s">
        <v>259</v>
      </c>
      <c r="AH27" s="4" t="s">
        <v>266</v>
      </c>
      <c r="AI27" s="4" t="s">
        <v>269</v>
      </c>
      <c r="AJ27" s="6"/>
      <c r="AK27" s="4">
        <v>2005</v>
      </c>
      <c r="AL27" s="4">
        <v>2006</v>
      </c>
      <c r="AM27" s="4">
        <v>2007</v>
      </c>
      <c r="AN27" s="4">
        <v>2008</v>
      </c>
      <c r="AO27" s="4">
        <v>2009</v>
      </c>
      <c r="AP27" s="4">
        <v>2010</v>
      </c>
      <c r="AQ27" s="4">
        <v>2011</v>
      </c>
      <c r="AR27" s="4">
        <v>2012</v>
      </c>
      <c r="AS27" s="4">
        <v>2013</v>
      </c>
    </row>
    <row r="28" spans="1:45" ht="12.75">
      <c r="A28" s="7" t="s">
        <v>26</v>
      </c>
      <c r="B28" s="21">
        <v>1048.643</v>
      </c>
      <c r="C28" s="21">
        <v>2395.785</v>
      </c>
      <c r="D28" s="21">
        <v>3991.382</v>
      </c>
      <c r="E28" s="21">
        <v>5586.725</v>
      </c>
      <c r="F28" s="21">
        <v>1598.702</v>
      </c>
      <c r="G28" s="21">
        <v>3728.368</v>
      </c>
      <c r="H28" s="21">
        <v>5049.271</v>
      </c>
      <c r="I28" s="21">
        <v>6946.05</v>
      </c>
      <c r="J28" s="23">
        <v>1779.491</v>
      </c>
      <c r="K28" s="21">
        <v>4698.091</v>
      </c>
      <c r="L28" s="21">
        <v>7807.105</v>
      </c>
      <c r="M28" s="21">
        <v>9642.94</v>
      </c>
      <c r="N28" s="21">
        <v>1136.296</v>
      </c>
      <c r="O28" s="21">
        <v>2215.098</v>
      </c>
      <c r="P28" s="21">
        <v>3707.774</v>
      </c>
      <c r="Q28" s="21">
        <v>5305.187</v>
      </c>
      <c r="R28" s="21">
        <v>1471.847</v>
      </c>
      <c r="S28" s="21">
        <v>3338.067</v>
      </c>
      <c r="T28" s="21">
        <v>5240.706</v>
      </c>
      <c r="U28" s="21">
        <v>7160.623</v>
      </c>
      <c r="V28" s="21">
        <v>1836.773</v>
      </c>
      <c r="W28" s="21">
        <v>4191.676</v>
      </c>
      <c r="X28" s="21">
        <v>6156.67462629287</v>
      </c>
      <c r="Y28" s="21">
        <v>8042.717</v>
      </c>
      <c r="Z28" s="21">
        <v>1794.65</v>
      </c>
      <c r="AA28" s="21">
        <v>3610.412</v>
      </c>
      <c r="AB28" s="21">
        <v>5446.541</v>
      </c>
      <c r="AC28" s="21">
        <v>7149.802</v>
      </c>
      <c r="AD28" s="21">
        <v>1659.062</v>
      </c>
      <c r="AE28" s="21">
        <v>3343.826</v>
      </c>
      <c r="AF28" s="21">
        <v>4873.265</v>
      </c>
      <c r="AG28" s="21">
        <v>6468.371</v>
      </c>
      <c r="AH28" s="21">
        <v>1742.414</v>
      </c>
      <c r="AI28" s="21">
        <v>3470.105</v>
      </c>
      <c r="AJ28" s="23"/>
      <c r="AK28" s="21">
        <v>4195.236</v>
      </c>
      <c r="AL28" s="21">
        <f>E28</f>
        <v>5586.725</v>
      </c>
      <c r="AM28" s="21">
        <f>I28</f>
        <v>6946.05</v>
      </c>
      <c r="AN28" s="21">
        <f>M28</f>
        <v>9642.94</v>
      </c>
      <c r="AO28" s="21">
        <f>Q28</f>
        <v>5305.187</v>
      </c>
      <c r="AP28" s="21">
        <f>U28</f>
        <v>7160.623</v>
      </c>
      <c r="AQ28" s="21">
        <f>Y28</f>
        <v>8042.717</v>
      </c>
      <c r="AR28" s="21">
        <f>AC28</f>
        <v>7149.802</v>
      </c>
      <c r="AS28" s="21">
        <f>AG28</f>
        <v>6468.371</v>
      </c>
    </row>
    <row r="29" spans="1:45" s="237" customFormat="1" ht="12.75">
      <c r="A29" s="9" t="s">
        <v>137</v>
      </c>
      <c r="B29" s="233"/>
      <c r="C29" s="233"/>
      <c r="D29" s="233"/>
      <c r="E29" s="233"/>
      <c r="F29" s="233"/>
      <c r="G29" s="233"/>
      <c r="H29" s="234"/>
      <c r="I29" s="234"/>
      <c r="J29" s="240"/>
      <c r="K29" s="233"/>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40"/>
      <c r="AK29" s="234"/>
      <c r="AL29" s="14">
        <v>0.3316831281958872</v>
      </c>
      <c r="AM29" s="14">
        <v>0.24331339022414733</v>
      </c>
      <c r="AN29" s="14">
        <v>0.3882623937345686</v>
      </c>
      <c r="AO29" s="14">
        <f>AO28/AN28-1</f>
        <v>-0.4498371865841746</v>
      </c>
      <c r="AP29" s="14">
        <f>AP28/AO28-1</f>
        <v>0.34973998089040026</v>
      </c>
      <c r="AQ29" s="14">
        <f>AQ28/AP28-1</f>
        <v>0.12318676740836665</v>
      </c>
      <c r="AR29" s="14">
        <f>AR28/AQ28-1</f>
        <v>-0.11102156149470388</v>
      </c>
      <c r="AS29" s="14">
        <f>AS28/AR28-1</f>
        <v>-0.09530767425447584</v>
      </c>
    </row>
    <row r="30" spans="1:45" ht="12.75">
      <c r="A30" s="18" t="s">
        <v>138</v>
      </c>
      <c r="B30" s="23" t="s">
        <v>139</v>
      </c>
      <c r="C30" s="23" t="s">
        <v>139</v>
      </c>
      <c r="D30" s="23" t="s">
        <v>139</v>
      </c>
      <c r="E30" s="21">
        <v>224.056</v>
      </c>
      <c r="F30" s="23" t="s">
        <v>139</v>
      </c>
      <c r="G30" s="23" t="s">
        <v>139</v>
      </c>
      <c r="H30" s="23" t="s">
        <v>139</v>
      </c>
      <c r="I30" s="21">
        <v>265.335</v>
      </c>
      <c r="J30" s="23" t="s">
        <v>139</v>
      </c>
      <c r="K30" s="23" t="s">
        <v>139</v>
      </c>
      <c r="L30" s="23" t="s">
        <v>139</v>
      </c>
      <c r="M30" s="23">
        <v>285.171</v>
      </c>
      <c r="N30" s="23" t="s">
        <v>139</v>
      </c>
      <c r="O30" s="23" t="s">
        <v>139</v>
      </c>
      <c r="P30" s="23" t="s">
        <v>139</v>
      </c>
      <c r="Q30" s="23">
        <v>293.106</v>
      </c>
      <c r="R30" s="23" t="s">
        <v>139</v>
      </c>
      <c r="S30" s="23" t="s">
        <v>139</v>
      </c>
      <c r="T30" s="23" t="s">
        <v>139</v>
      </c>
      <c r="U30" s="23">
        <v>308.546</v>
      </c>
      <c r="V30" s="23" t="s">
        <v>139</v>
      </c>
      <c r="W30" s="23" t="s">
        <v>139</v>
      </c>
      <c r="X30" s="23" t="s">
        <v>139</v>
      </c>
      <c r="Y30" s="23">
        <v>332.53</v>
      </c>
      <c r="Z30" s="23" t="s">
        <v>139</v>
      </c>
      <c r="AA30" s="23" t="s">
        <v>139</v>
      </c>
      <c r="AB30" s="23" t="s">
        <v>139</v>
      </c>
      <c r="AC30" s="23">
        <v>416.897</v>
      </c>
      <c r="AD30" s="23" t="s">
        <v>139</v>
      </c>
      <c r="AE30" s="23" t="s">
        <v>139</v>
      </c>
      <c r="AF30" s="23" t="s">
        <v>139</v>
      </c>
      <c r="AG30" s="23">
        <v>538.837</v>
      </c>
      <c r="AH30" s="23" t="s">
        <v>139</v>
      </c>
      <c r="AI30" s="23" t="s">
        <v>139</v>
      </c>
      <c r="AJ30" s="23"/>
      <c r="AK30" s="21">
        <v>197.423</v>
      </c>
      <c r="AL30" s="21">
        <f>E30</f>
        <v>224.056</v>
      </c>
      <c r="AM30" s="21">
        <f>I30</f>
        <v>265.335</v>
      </c>
      <c r="AN30" s="23">
        <f>M30</f>
        <v>285.171</v>
      </c>
      <c r="AO30" s="21">
        <f>Q30</f>
        <v>293.106</v>
      </c>
      <c r="AP30" s="21">
        <f>U30</f>
        <v>308.546</v>
      </c>
      <c r="AQ30" s="21">
        <f>Y30</f>
        <v>332.53</v>
      </c>
      <c r="AR30" s="21">
        <f>AC30</f>
        <v>416.897</v>
      </c>
      <c r="AS30" s="21">
        <f>AG30</f>
        <v>538.837</v>
      </c>
    </row>
    <row r="31" spans="1:45" s="237" customFormat="1" ht="12.75">
      <c r="A31" s="9" t="s">
        <v>137</v>
      </c>
      <c r="B31" s="233"/>
      <c r="C31" s="233"/>
      <c r="D31" s="233"/>
      <c r="E31" s="233"/>
      <c r="F31" s="233"/>
      <c r="G31" s="233"/>
      <c r="H31" s="233"/>
      <c r="I31" s="233"/>
      <c r="J31" s="235"/>
      <c r="K31" s="233"/>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5"/>
      <c r="AK31" s="233"/>
      <c r="AL31" s="14">
        <v>0.13490322809399102</v>
      </c>
      <c r="AM31" s="14">
        <v>0.18423519120219933</v>
      </c>
      <c r="AN31" s="14">
        <v>0.07475832438238461</v>
      </c>
      <c r="AO31" s="14">
        <f>AO30/AN30-1</f>
        <v>0.027825410017147556</v>
      </c>
      <c r="AP31" s="14">
        <f>AP30/AO30-1</f>
        <v>0.0526771884574182</v>
      </c>
      <c r="AQ31" s="14">
        <f>AQ30/AP30-1</f>
        <v>0.07773233164584847</v>
      </c>
      <c r="AR31" s="14">
        <f>AR30/AQ30-1</f>
        <v>0.2537124469972636</v>
      </c>
      <c r="AS31" s="14">
        <f>AS30/AR30-1</f>
        <v>0.29249430914590424</v>
      </c>
    </row>
    <row r="32" spans="1:45" ht="12.75">
      <c r="A32" s="18" t="s">
        <v>3</v>
      </c>
      <c r="B32" s="29">
        <v>336.348</v>
      </c>
      <c r="C32" s="29">
        <v>833.854</v>
      </c>
      <c r="D32" s="29">
        <v>1496.895</v>
      </c>
      <c r="E32" s="297">
        <v>2108.437</v>
      </c>
      <c r="F32" s="297">
        <v>519.858</v>
      </c>
      <c r="G32" s="297">
        <v>1131.367</v>
      </c>
      <c r="H32" s="297">
        <v>1772.952</v>
      </c>
      <c r="I32" s="297">
        <v>2362.82</v>
      </c>
      <c r="J32" s="297">
        <v>529.196</v>
      </c>
      <c r="K32" s="297">
        <v>1605.598</v>
      </c>
      <c r="L32" s="297">
        <v>2790.708</v>
      </c>
      <c r="M32" s="297">
        <v>3227.065</v>
      </c>
      <c r="N32" s="297">
        <v>91.246</v>
      </c>
      <c r="O32" s="297">
        <v>164.99</v>
      </c>
      <c r="P32" s="297">
        <v>427.921</v>
      </c>
      <c r="Q32" s="297">
        <v>785.032</v>
      </c>
      <c r="R32" s="297">
        <v>208.412</v>
      </c>
      <c r="S32" s="297">
        <v>573.894</v>
      </c>
      <c r="T32" s="297">
        <v>884.362</v>
      </c>
      <c r="U32" s="297">
        <v>1083.585</v>
      </c>
      <c r="V32" s="297">
        <v>255.942</v>
      </c>
      <c r="W32" s="297">
        <v>657.701</v>
      </c>
      <c r="X32" s="297">
        <v>918.352445332574</v>
      </c>
      <c r="Y32" s="297">
        <v>1075.282</v>
      </c>
      <c r="Z32" s="297">
        <v>78.203</v>
      </c>
      <c r="AA32" s="297">
        <v>314.791</v>
      </c>
      <c r="AB32" s="297">
        <v>466.876</v>
      </c>
      <c r="AC32" s="297">
        <v>551.072</v>
      </c>
      <c r="AD32" s="297">
        <v>-36.305</v>
      </c>
      <c r="AE32" s="297">
        <v>44.672</v>
      </c>
      <c r="AF32" s="297">
        <v>88.429</v>
      </c>
      <c r="AG32" s="297">
        <v>98.11</v>
      </c>
      <c r="AH32" s="297">
        <v>128.107</v>
      </c>
      <c r="AI32" s="297">
        <v>334.657</v>
      </c>
      <c r="AJ32" s="30"/>
      <c r="AK32" s="21">
        <v>1523.572</v>
      </c>
      <c r="AL32" s="29">
        <f>E32</f>
        <v>2108.437</v>
      </c>
      <c r="AM32" s="29">
        <f>I32</f>
        <v>2362.82</v>
      </c>
      <c r="AN32" s="21">
        <f>M32</f>
        <v>3227.065</v>
      </c>
      <c r="AO32" s="21">
        <f>Q32</f>
        <v>785.032</v>
      </c>
      <c r="AP32" s="21">
        <f>U32</f>
        <v>1083.585</v>
      </c>
      <c r="AQ32" s="21">
        <f>Y32</f>
        <v>1075.282</v>
      </c>
      <c r="AR32" s="21">
        <f>AC32</f>
        <v>551.072</v>
      </c>
      <c r="AS32" s="21">
        <f>AG32</f>
        <v>98.11</v>
      </c>
    </row>
    <row r="33" spans="1:45" s="237" customFormat="1" ht="12.75">
      <c r="A33" s="9" t="s">
        <v>137</v>
      </c>
      <c r="B33" s="233"/>
      <c r="C33" s="233"/>
      <c r="D33" s="233"/>
      <c r="E33" s="233"/>
      <c r="F33" s="233"/>
      <c r="G33" s="233"/>
      <c r="H33" s="233"/>
      <c r="I33" s="233"/>
      <c r="J33" s="235"/>
      <c r="K33" s="233"/>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5"/>
      <c r="AK33" s="233"/>
      <c r="AL33" s="14">
        <v>0.38387749315424546</v>
      </c>
      <c r="AM33" s="14">
        <v>0.12065003602194424</v>
      </c>
      <c r="AN33" s="14">
        <v>0.3657684461787185</v>
      </c>
      <c r="AO33" s="14">
        <f>AO32/AN32-1</f>
        <v>-0.7567349898437125</v>
      </c>
      <c r="AP33" s="14">
        <f>AP32/AO32-1</f>
        <v>0.3803067900416799</v>
      </c>
      <c r="AQ33" s="14">
        <f>AQ32/AP32-1</f>
        <v>-0.007662527628197191</v>
      </c>
      <c r="AR33" s="14">
        <f>AR32/AQ32-1</f>
        <v>-0.4875093231356983</v>
      </c>
      <c r="AS33" s="14">
        <f>AS32/AR32-1</f>
        <v>-0.8219651878520411</v>
      </c>
    </row>
    <row r="34" spans="1:45" ht="12.75">
      <c r="A34" s="18" t="s">
        <v>2</v>
      </c>
      <c r="B34" s="29">
        <v>336.348</v>
      </c>
      <c r="C34" s="29">
        <v>833.854</v>
      </c>
      <c r="D34" s="29">
        <v>1496.895</v>
      </c>
      <c r="E34" s="297">
        <v>2332.493</v>
      </c>
      <c r="F34" s="297"/>
      <c r="G34" s="297"/>
      <c r="H34" s="297"/>
      <c r="I34" s="297">
        <v>2628.155</v>
      </c>
      <c r="J34" s="297"/>
      <c r="K34" s="297"/>
      <c r="L34" s="297"/>
      <c r="M34" s="297">
        <v>3512.236</v>
      </c>
      <c r="N34" s="297"/>
      <c r="O34" s="297"/>
      <c r="P34" s="297"/>
      <c r="Q34" s="297">
        <v>1078.138</v>
      </c>
      <c r="R34" s="297"/>
      <c r="S34" s="297"/>
      <c r="T34" s="297"/>
      <c r="U34" s="297">
        <v>1392.131</v>
      </c>
      <c r="V34" s="297">
        <v>1392.131</v>
      </c>
      <c r="W34" s="297">
        <v>1392.131</v>
      </c>
      <c r="X34" s="297">
        <v>1392.131</v>
      </c>
      <c r="Y34" s="297">
        <v>1407.812</v>
      </c>
      <c r="Z34" s="297">
        <v>166.58</v>
      </c>
      <c r="AA34" s="297">
        <v>484.736</v>
      </c>
      <c r="AB34" s="297">
        <v>771.169</v>
      </c>
      <c r="AC34" s="297">
        <v>967.969</v>
      </c>
      <c r="AD34" s="297">
        <v>83.442</v>
      </c>
      <c r="AE34" s="297">
        <v>297.374</v>
      </c>
      <c r="AF34" s="297">
        <v>484.217</v>
      </c>
      <c r="AG34" s="297">
        <v>636.947</v>
      </c>
      <c r="AH34" s="297">
        <v>262.455</v>
      </c>
      <c r="AI34" s="297">
        <v>614.985</v>
      </c>
      <c r="AJ34" s="30"/>
      <c r="AK34" s="29">
        <v>1720.995</v>
      </c>
      <c r="AL34" s="29">
        <f>E34</f>
        <v>2332.493</v>
      </c>
      <c r="AM34" s="29">
        <f>I34</f>
        <v>2628.155</v>
      </c>
      <c r="AN34" s="29">
        <f>M34</f>
        <v>3512.236</v>
      </c>
      <c r="AO34" s="29">
        <f>Q34</f>
        <v>1078.138</v>
      </c>
      <c r="AP34" s="29">
        <f>U34</f>
        <v>1392.131</v>
      </c>
      <c r="AQ34" s="29">
        <f>Y34</f>
        <v>1407.812</v>
      </c>
      <c r="AR34" s="29">
        <f>AC34</f>
        <v>967.969</v>
      </c>
      <c r="AS34" s="29">
        <f>AG34</f>
        <v>636.947</v>
      </c>
    </row>
    <row r="35" spans="1:45" s="237" customFormat="1" ht="12.75">
      <c r="A35" s="9" t="s">
        <v>137</v>
      </c>
      <c r="B35" s="233"/>
      <c r="C35" s="233"/>
      <c r="D35" s="233"/>
      <c r="E35" s="233"/>
      <c r="F35" s="233"/>
      <c r="G35" s="233"/>
      <c r="H35" s="233"/>
      <c r="I35" s="233"/>
      <c r="J35" s="235"/>
      <c r="K35" s="233"/>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5"/>
      <c r="AK35" s="233"/>
      <c r="AL35" s="335">
        <f aca="true" t="shared" si="1" ref="AL35:AS35">AL34/AK34-1</f>
        <v>0.3553165465326744</v>
      </c>
      <c r="AM35" s="335">
        <f t="shared" si="1"/>
        <v>0.1267579366797673</v>
      </c>
      <c r="AN35" s="335">
        <f t="shared" si="1"/>
        <v>0.33638845501882475</v>
      </c>
      <c r="AO35" s="335">
        <f t="shared" si="1"/>
        <v>-0.693033725524139</v>
      </c>
      <c r="AP35" s="335">
        <f t="shared" si="1"/>
        <v>0.2912363723382352</v>
      </c>
      <c r="AQ35" s="335">
        <f t="shared" si="1"/>
        <v>0.011264026158457563</v>
      </c>
      <c r="AR35" s="335">
        <f t="shared" si="1"/>
        <v>-0.31243021085201705</v>
      </c>
      <c r="AS35" s="335">
        <f t="shared" si="1"/>
        <v>-0.34197582773828505</v>
      </c>
    </row>
    <row r="36" spans="1:45" ht="12.75">
      <c r="A36" s="328" t="s">
        <v>271</v>
      </c>
      <c r="B36" s="29">
        <v>336.348</v>
      </c>
      <c r="C36" s="29">
        <v>833.854</v>
      </c>
      <c r="D36" s="29">
        <v>1496.895</v>
      </c>
      <c r="E36" s="297">
        <v>1934.234</v>
      </c>
      <c r="F36" s="297"/>
      <c r="G36" s="297"/>
      <c r="H36" s="297"/>
      <c r="I36" s="297">
        <v>1772.543</v>
      </c>
      <c r="J36" s="297"/>
      <c r="K36" s="297"/>
      <c r="L36" s="297"/>
      <c r="M36" s="297">
        <v>2820.445</v>
      </c>
      <c r="N36" s="297"/>
      <c r="O36" s="297"/>
      <c r="P36" s="297"/>
      <c r="Q36" s="297">
        <v>1239.668</v>
      </c>
      <c r="R36" s="297"/>
      <c r="S36" s="297"/>
      <c r="T36" s="297"/>
      <c r="U36" s="297">
        <v>1372.125</v>
      </c>
      <c r="V36" s="297"/>
      <c r="W36" s="297"/>
      <c r="X36" s="297"/>
      <c r="Y36" s="297">
        <v>1159.764</v>
      </c>
      <c r="Z36" s="297">
        <v>113.14</v>
      </c>
      <c r="AA36" s="297">
        <v>461.581</v>
      </c>
      <c r="AB36" s="297">
        <v>709.826</v>
      </c>
      <c r="AC36" s="297">
        <v>817.389</v>
      </c>
      <c r="AD36" s="297">
        <v>-38.801</v>
      </c>
      <c r="AE36" s="297">
        <v>213.873</v>
      </c>
      <c r="AF36" s="297">
        <v>471.458</v>
      </c>
      <c r="AG36" s="297">
        <v>160.479</v>
      </c>
      <c r="AH36" s="297">
        <v>101.17</v>
      </c>
      <c r="AI36" s="297">
        <v>570.526</v>
      </c>
      <c r="AJ36" s="30"/>
      <c r="AK36" s="29">
        <v>1161.179</v>
      </c>
      <c r="AL36" s="29">
        <f>E36</f>
        <v>1934.234</v>
      </c>
      <c r="AM36" s="29">
        <f>I36</f>
        <v>1772.543</v>
      </c>
      <c r="AN36" s="29">
        <f>M36</f>
        <v>2820.445</v>
      </c>
      <c r="AO36" s="29">
        <f>Q36</f>
        <v>1239.668</v>
      </c>
      <c r="AP36" s="29">
        <f>U36</f>
        <v>1372.125</v>
      </c>
      <c r="AQ36" s="29">
        <f>Y36</f>
        <v>1159.764</v>
      </c>
      <c r="AR36" s="29">
        <f>AC36</f>
        <v>817.389</v>
      </c>
      <c r="AS36" s="29">
        <f>AG36</f>
        <v>160.479</v>
      </c>
    </row>
    <row r="37" spans="1:45" s="237" customFormat="1" ht="12.75">
      <c r="A37" s="9" t="s">
        <v>137</v>
      </c>
      <c r="B37" s="233"/>
      <c r="C37" s="233"/>
      <c r="D37" s="233"/>
      <c r="E37" s="233"/>
      <c r="F37" s="233"/>
      <c r="G37" s="233"/>
      <c r="H37" s="233"/>
      <c r="I37" s="233"/>
      <c r="J37" s="235"/>
      <c r="K37" s="233"/>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5"/>
      <c r="AK37" s="233"/>
      <c r="AL37" s="335">
        <f aca="true" t="shared" si="2" ref="AL37:AS37">AL36/AK36-1</f>
        <v>0.6657500695413883</v>
      </c>
      <c r="AM37" s="335">
        <f t="shared" si="2"/>
        <v>-0.08359433243340775</v>
      </c>
      <c r="AN37" s="335">
        <f t="shared" si="2"/>
        <v>0.5911856581194366</v>
      </c>
      <c r="AO37" s="335">
        <f t="shared" si="2"/>
        <v>-0.5604707767745871</v>
      </c>
      <c r="AP37" s="335">
        <f t="shared" si="2"/>
        <v>0.1068487691865887</v>
      </c>
      <c r="AQ37" s="335">
        <f t="shared" si="2"/>
        <v>-0.15476796939054394</v>
      </c>
      <c r="AR37" s="335">
        <f t="shared" si="2"/>
        <v>-0.2952109222221072</v>
      </c>
      <c r="AS37" s="335">
        <f t="shared" si="2"/>
        <v>-0.8036687550236179</v>
      </c>
    </row>
    <row r="38" spans="1:45" s="237" customFormat="1" ht="12.75">
      <c r="A38" s="328" t="s">
        <v>272</v>
      </c>
      <c r="B38" s="233"/>
      <c r="C38" s="233"/>
      <c r="D38" s="233"/>
      <c r="E38" s="233"/>
      <c r="F38" s="233"/>
      <c r="G38" s="233"/>
      <c r="H38" s="233"/>
      <c r="I38" s="233"/>
      <c r="J38" s="235"/>
      <c r="K38" s="233"/>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5"/>
      <c r="AK38" s="233"/>
      <c r="AL38" s="233"/>
      <c r="AM38" s="233"/>
      <c r="AN38" s="233"/>
      <c r="AO38" s="233"/>
      <c r="AP38" s="233"/>
      <c r="AQ38" s="233"/>
      <c r="AR38" s="233"/>
      <c r="AS38" s="233"/>
    </row>
    <row r="39" spans="1:45" s="237" customFormat="1" ht="12.75">
      <c r="A39" s="329" t="s">
        <v>3</v>
      </c>
      <c r="B39" s="233"/>
      <c r="C39" s="233"/>
      <c r="D39" s="233"/>
      <c r="E39" s="12">
        <f>E32/E60</f>
        <v>0.37564865245270174</v>
      </c>
      <c r="F39" s="12"/>
      <c r="G39" s="12"/>
      <c r="H39" s="12"/>
      <c r="I39" s="12">
        <f>I32/I60</f>
        <v>0.3389751239584293</v>
      </c>
      <c r="J39" s="12"/>
      <c r="K39" s="12"/>
      <c r="L39" s="12"/>
      <c r="M39" s="12">
        <f>M32/M60</f>
        <v>0.32644015932224824</v>
      </c>
      <c r="N39" s="12"/>
      <c r="O39" s="12"/>
      <c r="P39" s="12"/>
      <c r="Q39" s="12">
        <f>Q32/Q60</f>
        <v>0.145266055500844</v>
      </c>
      <c r="R39" s="12"/>
      <c r="S39" s="12"/>
      <c r="T39" s="12"/>
      <c r="U39" s="12">
        <f>U32/U60</f>
        <v>0.14862631910084498</v>
      </c>
      <c r="V39" s="12"/>
      <c r="W39" s="12"/>
      <c r="X39" s="12"/>
      <c r="Y39" s="12">
        <f aca="true" t="shared" si="3" ref="Y39:AI39">Y32/Y60</f>
        <v>0.11910885222968375</v>
      </c>
      <c r="Z39" s="12">
        <f t="shared" si="3"/>
        <v>0.03526991726770554</v>
      </c>
      <c r="AA39" s="12">
        <f t="shared" si="3"/>
        <v>0.07002618048540565</v>
      </c>
      <c r="AB39" s="12">
        <f t="shared" si="3"/>
        <v>0.07045371719429189</v>
      </c>
      <c r="AC39" s="12">
        <f t="shared" si="3"/>
        <v>0.0635169378462503</v>
      </c>
      <c r="AD39" s="12">
        <f t="shared" si="3"/>
        <v>-0.018105344629911396</v>
      </c>
      <c r="AE39" s="12">
        <f t="shared" si="3"/>
        <v>0.01100055234238234</v>
      </c>
      <c r="AF39" s="12">
        <f t="shared" si="3"/>
        <v>0.014585921251629037</v>
      </c>
      <c r="AG39" s="12">
        <f t="shared" si="3"/>
        <v>0.012474988988542999</v>
      </c>
      <c r="AH39" s="12">
        <f t="shared" si="3"/>
        <v>0.06284921477116237</v>
      </c>
      <c r="AI39" s="12">
        <f t="shared" si="3"/>
        <v>0.0828882502016125</v>
      </c>
      <c r="AJ39" s="235"/>
      <c r="AK39" s="12">
        <f aca="true" t="shared" si="4" ref="AK39:AS39">AK32/AK60</f>
        <v>0.36278650683701785</v>
      </c>
      <c r="AL39" s="12">
        <f t="shared" si="4"/>
        <v>0.37564865245270174</v>
      </c>
      <c r="AM39" s="12">
        <f t="shared" si="4"/>
        <v>0.3389751239584293</v>
      </c>
      <c r="AN39" s="12">
        <f t="shared" si="4"/>
        <v>0.32644015932224824</v>
      </c>
      <c r="AO39" s="12">
        <f t="shared" si="4"/>
        <v>0.145266055500844</v>
      </c>
      <c r="AP39" s="12">
        <f t="shared" si="4"/>
        <v>0.14862631910084498</v>
      </c>
      <c r="AQ39" s="12">
        <f t="shared" si="4"/>
        <v>0.11910885222968375</v>
      </c>
      <c r="AR39" s="12">
        <f t="shared" si="4"/>
        <v>0.0635169378462503</v>
      </c>
      <c r="AS39" s="12">
        <f t="shared" si="4"/>
        <v>0.012474988988542999</v>
      </c>
    </row>
    <row r="40" spans="1:45" s="237" customFormat="1" ht="12.75">
      <c r="A40" s="329" t="s">
        <v>2</v>
      </c>
      <c r="B40" s="233"/>
      <c r="C40" s="233"/>
      <c r="D40" s="233"/>
      <c r="E40" s="12">
        <f>E34/E60</f>
        <v>0.41556748070032906</v>
      </c>
      <c r="F40" s="12"/>
      <c r="G40" s="12"/>
      <c r="H40" s="12"/>
      <c r="I40" s="12">
        <f>I34/I60</f>
        <v>0.37704064080504046</v>
      </c>
      <c r="J40" s="12"/>
      <c r="K40" s="12"/>
      <c r="L40" s="12"/>
      <c r="M40" s="12">
        <f>M34/M60</f>
        <v>0.35528719731933994</v>
      </c>
      <c r="N40" s="12"/>
      <c r="O40" s="12"/>
      <c r="P40" s="12"/>
      <c r="Q40" s="12">
        <f>Q34/Q60</f>
        <v>0.19950378398023128</v>
      </c>
      <c r="R40" s="12"/>
      <c r="S40" s="12"/>
      <c r="T40" s="12"/>
      <c r="U40" s="12">
        <f>U34/U60</f>
        <v>0.19094700114543706</v>
      </c>
      <c r="V40" s="12"/>
      <c r="W40" s="12"/>
      <c r="X40" s="12"/>
      <c r="Y40" s="12">
        <f aca="true" t="shared" si="5" ref="Y40:AI40">Y34/Y60</f>
        <v>0.15594315860878868</v>
      </c>
      <c r="Z40" s="12">
        <f t="shared" si="5"/>
        <v>0.07512835592566001</v>
      </c>
      <c r="AA40" s="12">
        <f t="shared" si="5"/>
        <v>0.10783094378102802</v>
      </c>
      <c r="AB40" s="12">
        <f t="shared" si="5"/>
        <v>0.11637291836591489</v>
      </c>
      <c r="AC40" s="12">
        <f t="shared" si="5"/>
        <v>0.11156877288284846</v>
      </c>
      <c r="AD40" s="12">
        <f t="shared" si="5"/>
        <v>0.0416126199313887</v>
      </c>
      <c r="AE40" s="12">
        <f t="shared" si="5"/>
        <v>0.07322882907108719</v>
      </c>
      <c r="AF40" s="12">
        <f t="shared" si="5"/>
        <v>0.07986917222517564</v>
      </c>
      <c r="AG40" s="12">
        <f t="shared" si="5"/>
        <v>0.08098977485766484</v>
      </c>
      <c r="AH40" s="12">
        <f t="shared" si="5"/>
        <v>0.12876026027278306</v>
      </c>
      <c r="AI40" s="12">
        <f t="shared" si="5"/>
        <v>0.15232022802522782</v>
      </c>
      <c r="AJ40" s="235"/>
      <c r="AK40" s="12">
        <f aca="true" t="shared" si="6" ref="AK40:AS40">AK34/AK60</f>
        <v>0.4097960348010947</v>
      </c>
      <c r="AL40" s="12">
        <f t="shared" si="6"/>
        <v>0.41556748070032906</v>
      </c>
      <c r="AM40" s="12">
        <f t="shared" si="6"/>
        <v>0.37704064080504046</v>
      </c>
      <c r="AN40" s="12">
        <f t="shared" si="6"/>
        <v>0.35528719731933994</v>
      </c>
      <c r="AO40" s="12">
        <f t="shared" si="6"/>
        <v>0.19950378398023128</v>
      </c>
      <c r="AP40" s="12">
        <f t="shared" si="6"/>
        <v>0.19094700114543706</v>
      </c>
      <c r="AQ40" s="12">
        <f t="shared" si="6"/>
        <v>0.15594315860878868</v>
      </c>
      <c r="AR40" s="12">
        <f t="shared" si="6"/>
        <v>0.11156877288284846</v>
      </c>
      <c r="AS40" s="12">
        <f t="shared" si="6"/>
        <v>0.08098977485766484</v>
      </c>
    </row>
    <row r="41" spans="1:45" s="237" customFormat="1" ht="12.75">
      <c r="A41" s="329" t="s">
        <v>271</v>
      </c>
      <c r="B41" s="233"/>
      <c r="C41" s="233"/>
      <c r="D41" s="233"/>
      <c r="E41" s="12">
        <f>E36/E60</f>
        <v>0.34461185969900887</v>
      </c>
      <c r="F41" s="12"/>
      <c r="G41" s="12"/>
      <c r="H41" s="12"/>
      <c r="I41" s="12">
        <f>I36/I60</f>
        <v>0.254292744748498</v>
      </c>
      <c r="J41" s="12"/>
      <c r="K41" s="12"/>
      <c r="L41" s="12"/>
      <c r="M41" s="12">
        <f>M36/M60</f>
        <v>0.2853077068976418</v>
      </c>
      <c r="N41" s="12"/>
      <c r="O41" s="12"/>
      <c r="P41" s="12"/>
      <c r="Q41" s="12">
        <f>Q36/Q60</f>
        <v>0.22939406354214892</v>
      </c>
      <c r="R41" s="12"/>
      <c r="S41" s="12"/>
      <c r="T41" s="12"/>
      <c r="U41" s="12">
        <f>U36/U60</f>
        <v>0.18820294494317188</v>
      </c>
      <c r="V41" s="12"/>
      <c r="W41" s="12"/>
      <c r="X41" s="12"/>
      <c r="Y41" s="12">
        <f aca="true" t="shared" si="7" ref="Y41:AI41">Y36/Y60</f>
        <v>0.12846691277014488</v>
      </c>
      <c r="Z41" s="12">
        <f t="shared" si="7"/>
        <v>0.05102666700341681</v>
      </c>
      <c r="AA41" s="12">
        <f t="shared" si="7"/>
        <v>0.1026800461723303</v>
      </c>
      <c r="AB41" s="12">
        <f t="shared" si="7"/>
        <v>0.10711597996289257</v>
      </c>
      <c r="AC41" s="12">
        <f t="shared" si="7"/>
        <v>0.09421281848689227</v>
      </c>
      <c r="AD41" s="12">
        <f t="shared" si="7"/>
        <v>-0.01935010265762821</v>
      </c>
      <c r="AE41" s="12">
        <f t="shared" si="7"/>
        <v>0.052666572598548046</v>
      </c>
      <c r="AF41" s="12">
        <f t="shared" si="7"/>
        <v>0.07776463899230482</v>
      </c>
      <c r="AG41" s="12">
        <f t="shared" si="7"/>
        <v>0.020405399631968118</v>
      </c>
      <c r="AH41" s="12">
        <f t="shared" si="7"/>
        <v>0.049633939272627554</v>
      </c>
      <c r="AI41" s="12">
        <f t="shared" si="7"/>
        <v>0.1413085691753801</v>
      </c>
      <c r="AJ41" s="235"/>
      <c r="AK41" s="12">
        <f aca="true" t="shared" si="8" ref="AK41:AS41">AK36/AK60</f>
        <v>0.2764950217137763</v>
      </c>
      <c r="AL41" s="12">
        <f t="shared" si="8"/>
        <v>0.34461185969900887</v>
      </c>
      <c r="AM41" s="12">
        <f t="shared" si="8"/>
        <v>0.254292744748498</v>
      </c>
      <c r="AN41" s="12">
        <f t="shared" si="8"/>
        <v>0.2853077068976418</v>
      </c>
      <c r="AO41" s="12">
        <f t="shared" si="8"/>
        <v>0.22939406354214892</v>
      </c>
      <c r="AP41" s="12">
        <f t="shared" si="8"/>
        <v>0.18820294494317188</v>
      </c>
      <c r="AQ41" s="12">
        <f t="shared" si="8"/>
        <v>0.12846691277014488</v>
      </c>
      <c r="AR41" s="12">
        <f t="shared" si="8"/>
        <v>0.09421281848689227</v>
      </c>
      <c r="AS41" s="12">
        <f t="shared" si="8"/>
        <v>0.020405399631968118</v>
      </c>
    </row>
    <row r="42" spans="1:45" ht="12.75">
      <c r="A42" s="18"/>
      <c r="B42" s="27"/>
      <c r="C42" s="27"/>
      <c r="D42" s="27"/>
      <c r="E42" s="27"/>
      <c r="F42" s="27"/>
      <c r="G42" s="27"/>
      <c r="H42" s="28"/>
      <c r="I42" s="28"/>
      <c r="J42" s="26"/>
      <c r="K42" s="27"/>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26"/>
      <c r="AK42" s="19"/>
      <c r="AL42" s="19"/>
      <c r="AM42" s="19"/>
      <c r="AN42" s="19"/>
      <c r="AO42" s="19"/>
      <c r="AP42" s="19"/>
      <c r="AQ42" s="19"/>
      <c r="AR42" s="19"/>
      <c r="AS42" s="19"/>
    </row>
    <row r="43" spans="1:45" ht="12.75">
      <c r="A43" s="2" t="s">
        <v>132</v>
      </c>
      <c r="B43" s="3" t="s">
        <v>6</v>
      </c>
      <c r="C43" s="4" t="s">
        <v>20</v>
      </c>
      <c r="D43" s="4" t="s">
        <v>21</v>
      </c>
      <c r="E43" s="4" t="s">
        <v>22</v>
      </c>
      <c r="F43" s="3" t="s">
        <v>0</v>
      </c>
      <c r="G43" s="3" t="s">
        <v>19</v>
      </c>
      <c r="H43" s="4" t="s">
        <v>18</v>
      </c>
      <c r="I43" s="4" t="s">
        <v>136</v>
      </c>
      <c r="J43" s="5" t="s">
        <v>160</v>
      </c>
      <c r="K43" s="3" t="s">
        <v>163</v>
      </c>
      <c r="L43" s="3" t="s">
        <v>164</v>
      </c>
      <c r="M43" s="4" t="s">
        <v>165</v>
      </c>
      <c r="N43" s="4" t="s">
        <v>172</v>
      </c>
      <c r="O43" s="4" t="s">
        <v>181</v>
      </c>
      <c r="P43" s="4" t="s">
        <v>183</v>
      </c>
      <c r="Q43" s="4" t="s">
        <v>185</v>
      </c>
      <c r="R43" s="4" t="s">
        <v>187</v>
      </c>
      <c r="S43" s="4" t="s">
        <v>202</v>
      </c>
      <c r="T43" s="4" t="s">
        <v>205</v>
      </c>
      <c r="U43" s="4" t="s">
        <v>206</v>
      </c>
      <c r="V43" s="4" t="s">
        <v>210</v>
      </c>
      <c r="W43" s="4" t="s">
        <v>211</v>
      </c>
      <c r="X43" s="4" t="s">
        <v>215</v>
      </c>
      <c r="Y43" s="4" t="s">
        <v>218</v>
      </c>
      <c r="Z43" s="4" t="s">
        <v>225</v>
      </c>
      <c r="AA43" s="4" t="s">
        <v>231</v>
      </c>
      <c r="AB43" s="4" t="s">
        <v>241</v>
      </c>
      <c r="AC43" s="4" t="s">
        <v>244</v>
      </c>
      <c r="AD43" s="4" t="s">
        <v>245</v>
      </c>
      <c r="AE43" s="4" t="s">
        <v>247</v>
      </c>
      <c r="AF43" s="4" t="s">
        <v>252</v>
      </c>
      <c r="AG43" s="4" t="s">
        <v>259</v>
      </c>
      <c r="AH43" s="4" t="s">
        <v>266</v>
      </c>
      <c r="AI43" s="4" t="s">
        <v>269</v>
      </c>
      <c r="AJ43" s="6"/>
      <c r="AK43" s="4">
        <v>2005</v>
      </c>
      <c r="AL43" s="4">
        <v>2006</v>
      </c>
      <c r="AM43" s="4">
        <v>2007</v>
      </c>
      <c r="AN43" s="4">
        <v>2008</v>
      </c>
      <c r="AO43" s="4">
        <v>2009</v>
      </c>
      <c r="AP43" s="4">
        <v>2010</v>
      </c>
      <c r="AQ43" s="4">
        <v>2011</v>
      </c>
      <c r="AR43" s="4">
        <v>2012</v>
      </c>
      <c r="AS43" s="4">
        <v>2013</v>
      </c>
    </row>
    <row r="44" spans="1:45" s="1" customFormat="1" ht="22.5">
      <c r="A44" s="37" t="s">
        <v>52</v>
      </c>
      <c r="B44" s="23" t="s">
        <v>139</v>
      </c>
      <c r="C44" s="23" t="s">
        <v>139</v>
      </c>
      <c r="D44" s="23" t="s">
        <v>139</v>
      </c>
      <c r="E44" s="21">
        <v>476.65</v>
      </c>
      <c r="F44" s="23" t="s">
        <v>139</v>
      </c>
      <c r="G44" s="23" t="s">
        <v>139</v>
      </c>
      <c r="H44" s="23" t="s">
        <v>139</v>
      </c>
      <c r="I44" s="21">
        <v>794.16</v>
      </c>
      <c r="J44" s="23" t="s">
        <v>139</v>
      </c>
      <c r="K44" s="23" t="s">
        <v>139</v>
      </c>
      <c r="L44" s="23" t="s">
        <v>139</v>
      </c>
      <c r="M44" s="23">
        <v>1380.306</v>
      </c>
      <c r="N44" s="23" t="s">
        <v>139</v>
      </c>
      <c r="O44" s="23" t="s">
        <v>139</v>
      </c>
      <c r="P44" s="23" t="s">
        <v>139</v>
      </c>
      <c r="Q44" s="23">
        <v>857.859</v>
      </c>
      <c r="R44" s="23" t="s">
        <v>139</v>
      </c>
      <c r="S44" s="23" t="s">
        <v>139</v>
      </c>
      <c r="T44" s="23" t="s">
        <v>139</v>
      </c>
      <c r="U44" s="23">
        <v>1071.036</v>
      </c>
      <c r="V44" s="23" t="s">
        <v>139</v>
      </c>
      <c r="W44" s="23" t="s">
        <v>139</v>
      </c>
      <c r="X44" s="23" t="s">
        <v>139</v>
      </c>
      <c r="Y44" s="23">
        <v>1330.181</v>
      </c>
      <c r="Z44" s="23" t="s">
        <v>139</v>
      </c>
      <c r="AA44" s="23" t="s">
        <v>139</v>
      </c>
      <c r="AB44" s="23" t="s">
        <v>139</v>
      </c>
      <c r="AC44" s="23">
        <v>747.608</v>
      </c>
      <c r="AD44" s="23" t="s">
        <v>139</v>
      </c>
      <c r="AE44" s="23" t="s">
        <v>139</v>
      </c>
      <c r="AF44" s="23" t="s">
        <v>139</v>
      </c>
      <c r="AG44" s="23">
        <v>391.476</v>
      </c>
      <c r="AH44" s="23" t="s">
        <v>139</v>
      </c>
      <c r="AI44" s="23" t="s">
        <v>139</v>
      </c>
      <c r="AJ44" s="23"/>
      <c r="AK44" s="23">
        <v>499.962</v>
      </c>
      <c r="AL44" s="21">
        <v>476.65</v>
      </c>
      <c r="AM44" s="21">
        <v>794.16</v>
      </c>
      <c r="AN44" s="21">
        <v>1380.306</v>
      </c>
      <c r="AO44" s="21">
        <f>Q44</f>
        <v>857.859</v>
      </c>
      <c r="AP44" s="21">
        <f>U44</f>
        <v>1071.036</v>
      </c>
      <c r="AQ44" s="21">
        <f>Y44</f>
        <v>1330.181</v>
      </c>
      <c r="AR44" s="21">
        <f>AC44</f>
        <v>747.608</v>
      </c>
      <c r="AS44" s="21">
        <f>AG44</f>
        <v>391.476</v>
      </c>
    </row>
    <row r="45" spans="1:45" s="43" customFormat="1" ht="12.75">
      <c r="A45" s="9" t="s">
        <v>137</v>
      </c>
      <c r="B45" s="243"/>
      <c r="C45" s="243"/>
      <c r="D45" s="243"/>
      <c r="E45" s="243"/>
      <c r="F45" s="243"/>
      <c r="G45" s="243"/>
      <c r="H45" s="244"/>
      <c r="I45" s="244"/>
      <c r="J45" s="235"/>
      <c r="K45" s="243"/>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35"/>
      <c r="AK45" s="244"/>
      <c r="AL45" s="14">
        <v>-0.04662754369332067</v>
      </c>
      <c r="AM45" s="14">
        <v>0.6661281863002202</v>
      </c>
      <c r="AN45" s="14">
        <v>0.7380704140223633</v>
      </c>
      <c r="AO45" s="14">
        <f>AO44/AN44-1</f>
        <v>-0.3785008541584257</v>
      </c>
      <c r="AP45" s="14">
        <f>AP44/AO44-1</f>
        <v>0.24849887918643976</v>
      </c>
      <c r="AQ45" s="14">
        <f>AQ44/AP44-1</f>
        <v>0.24195731982865176</v>
      </c>
      <c r="AR45" s="14">
        <f>AR44/AQ44-1</f>
        <v>-0.43796520924595983</v>
      </c>
      <c r="AS45" s="14">
        <f>AS44/AR44-1</f>
        <v>-0.47636194369241636</v>
      </c>
    </row>
    <row r="46" spans="1:45" ht="12.75">
      <c r="A46" s="18"/>
      <c r="B46" s="19"/>
      <c r="C46" s="19"/>
      <c r="D46" s="19"/>
      <c r="E46" s="19"/>
      <c r="F46" s="19"/>
      <c r="G46" s="19"/>
      <c r="H46" s="27"/>
      <c r="I46" s="27"/>
      <c r="J46" s="44"/>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44"/>
      <c r="AK46" s="27"/>
      <c r="AL46" s="27"/>
      <c r="AM46" s="27"/>
      <c r="AN46" s="27"/>
      <c r="AO46" s="27"/>
      <c r="AP46" s="27"/>
      <c r="AQ46" s="27"/>
      <c r="AR46" s="27"/>
      <c r="AS46" s="27"/>
    </row>
    <row r="47" spans="1:45" ht="12.75">
      <c r="A47" s="2" t="s">
        <v>263</v>
      </c>
      <c r="B47" s="3" t="s">
        <v>6</v>
      </c>
      <c r="C47" s="4" t="s">
        <v>20</v>
      </c>
      <c r="D47" s="4" t="s">
        <v>21</v>
      </c>
      <c r="E47" s="4" t="s">
        <v>22</v>
      </c>
      <c r="F47" s="3" t="s">
        <v>0</v>
      </c>
      <c r="G47" s="3" t="s">
        <v>19</v>
      </c>
      <c r="H47" s="4" t="s">
        <v>18</v>
      </c>
      <c r="I47" s="4" t="s">
        <v>136</v>
      </c>
      <c r="J47" s="5" t="s">
        <v>160</v>
      </c>
      <c r="K47" s="3" t="s">
        <v>163</v>
      </c>
      <c r="L47" s="3" t="s">
        <v>164</v>
      </c>
      <c r="M47" s="4" t="s">
        <v>165</v>
      </c>
      <c r="N47" s="4" t="s">
        <v>172</v>
      </c>
      <c r="O47" s="4" t="s">
        <v>181</v>
      </c>
      <c r="P47" s="4" t="s">
        <v>183</v>
      </c>
      <c r="Q47" s="4" t="s">
        <v>185</v>
      </c>
      <c r="R47" s="4" t="s">
        <v>187</v>
      </c>
      <c r="S47" s="4" t="s">
        <v>202</v>
      </c>
      <c r="T47" s="4" t="s">
        <v>205</v>
      </c>
      <c r="U47" s="4" t="s">
        <v>206</v>
      </c>
      <c r="V47" s="4" t="s">
        <v>210</v>
      </c>
      <c r="W47" s="4" t="s">
        <v>211</v>
      </c>
      <c r="X47" s="4" t="s">
        <v>215</v>
      </c>
      <c r="Y47" s="4" t="s">
        <v>218</v>
      </c>
      <c r="Z47" s="4" t="s">
        <v>225</v>
      </c>
      <c r="AA47" s="4" t="s">
        <v>231</v>
      </c>
      <c r="AB47" s="4" t="s">
        <v>241</v>
      </c>
      <c r="AC47" s="4" t="s">
        <v>244</v>
      </c>
      <c r="AD47" s="4" t="s">
        <v>245</v>
      </c>
      <c r="AE47" s="4" t="s">
        <v>247</v>
      </c>
      <c r="AF47" s="4" t="s">
        <v>252</v>
      </c>
      <c r="AG47" s="4" t="s">
        <v>259</v>
      </c>
      <c r="AH47" s="4" t="s">
        <v>266</v>
      </c>
      <c r="AI47" s="4" t="s">
        <v>269</v>
      </c>
      <c r="AJ47" s="6"/>
      <c r="AK47" s="4">
        <v>2005</v>
      </c>
      <c r="AL47" s="4">
        <v>2006</v>
      </c>
      <c r="AM47" s="4">
        <v>2007</v>
      </c>
      <c r="AN47" s="4">
        <v>2008</v>
      </c>
      <c r="AO47" s="4">
        <v>2009</v>
      </c>
      <c r="AP47" s="4">
        <v>2010</v>
      </c>
      <c r="AQ47" s="4">
        <v>2011</v>
      </c>
      <c r="AR47" s="4">
        <v>2012</v>
      </c>
      <c r="AS47" s="4">
        <v>2013</v>
      </c>
    </row>
    <row r="48" spans="1:45" ht="12.75">
      <c r="A48" s="18" t="s">
        <v>14</v>
      </c>
      <c r="B48" s="245">
        <v>0.3206692001288977</v>
      </c>
      <c r="C48" s="245">
        <v>0.34730559872182487</v>
      </c>
      <c r="D48" s="245">
        <v>0.3743140532653503</v>
      </c>
      <c r="E48" s="245">
        <v>0.3756486524527018</v>
      </c>
      <c r="F48" s="245">
        <v>0.3239</v>
      </c>
      <c r="G48" s="245">
        <v>0.3438682138452177</v>
      </c>
      <c r="H48" s="245">
        <v>0.3498455842786622</v>
      </c>
      <c r="I48" s="245">
        <v>0.33897512395842927</v>
      </c>
      <c r="J48" s="242">
        <v>0.28382151503482367</v>
      </c>
      <c r="K48" s="242">
        <v>0.33101632611828447</v>
      </c>
      <c r="L48" s="242">
        <v>0.34782636874524747</v>
      </c>
      <c r="M48" s="242">
        <v>0.32644015932224824</v>
      </c>
      <c r="N48" s="242">
        <f>N32/(N28+18.233)</f>
        <v>0.07903309488111601</v>
      </c>
      <c r="O48" s="242">
        <f>O32/(O28+42.316)</f>
        <v>0.07308805562471041</v>
      </c>
      <c r="P48" s="242">
        <f>P32/(P28+74.763)</f>
        <v>0.11313068451147999</v>
      </c>
      <c r="Q48" s="242">
        <f>Q32/(Q28+98.911)</f>
        <v>0.145266055500844</v>
      </c>
      <c r="R48" s="242">
        <f>R32/(R28+21.062)</f>
        <v>0.13960127509446324</v>
      </c>
      <c r="S48" s="242">
        <f>S32/(S28+53.407)</f>
        <v>0.16921668867283074</v>
      </c>
      <c r="T48" s="242">
        <f>T32/(T28+84.618)</f>
        <v>0.16606726651749262</v>
      </c>
      <c r="U48" s="242">
        <f>U32/(U28+130.44)</f>
        <v>0.1486182467494795</v>
      </c>
      <c r="V48" s="242">
        <f>V32/(V28+106.353)</f>
        <v>0.13171662568459278</v>
      </c>
      <c r="W48" s="242">
        <f>W32/(W28+293.402)</f>
        <v>0.14664204279167498</v>
      </c>
      <c r="X48" s="242">
        <f>X32/(X28+653.909)</f>
        <v>0.13484196006157123</v>
      </c>
      <c r="Y48" s="242">
        <f>Y32/(Y28+985.008)</f>
        <v>0.11910885632869853</v>
      </c>
      <c r="Z48" s="242">
        <f>Z32/(Z28+422.622)</f>
        <v>0.03526991726770554</v>
      </c>
      <c r="AA48" s="242">
        <f>AA32/(AA28+884.921)</f>
        <v>0.07002618048540565</v>
      </c>
      <c r="AB48" s="242">
        <f>AB32/(AB28+1180.164)</f>
        <v>0.07045371719429189</v>
      </c>
      <c r="AC48" s="242">
        <f>AC32/(AC28+1526.183)</f>
        <v>0.0635169378462503</v>
      </c>
      <c r="AD48" s="242">
        <f>AD32/(AD28+346.147)</f>
        <v>-0.018105344629911396</v>
      </c>
      <c r="AE48" s="242">
        <f>AE32/(AE28+717.061)</f>
        <v>0.01100055234238234</v>
      </c>
      <c r="AF48" s="242">
        <f>AF32/(AF28+1189.362)</f>
        <v>0.014585921251629037</v>
      </c>
      <c r="AG48" s="242">
        <f>AG32/(AG28+1396.165)</f>
        <v>0.012474988988542999</v>
      </c>
      <c r="AH48" s="242">
        <f>AH32/(AH28+346.147)</f>
        <v>0.061337447170563844</v>
      </c>
      <c r="AI48" s="242">
        <f>AI32/(AI28+346.147)</f>
        <v>0.08769258424234039</v>
      </c>
      <c r="AJ48" s="242"/>
      <c r="AK48" s="245">
        <v>0.36278650683701785</v>
      </c>
      <c r="AL48" s="245">
        <v>0.3756486524527018</v>
      </c>
      <c r="AM48" s="245">
        <v>0.33897512395842927</v>
      </c>
      <c r="AN48" s="245">
        <v>0.32644015932224824</v>
      </c>
      <c r="AO48" s="245">
        <f>Q48</f>
        <v>0.145266055500844</v>
      </c>
      <c r="AP48" s="245">
        <f>U48</f>
        <v>0.1486182467494795</v>
      </c>
      <c r="AQ48" s="245">
        <f>Y48</f>
        <v>0.11910885632869853</v>
      </c>
      <c r="AR48" s="245">
        <f>AC48</f>
        <v>0.0635169378462503</v>
      </c>
      <c r="AS48" s="245">
        <f>AG48</f>
        <v>0.012474988988542999</v>
      </c>
    </row>
    <row r="49" spans="1:45" ht="12.75">
      <c r="A49" s="18" t="s">
        <v>140</v>
      </c>
      <c r="B49" s="23">
        <v>159.4</v>
      </c>
      <c r="C49" s="21">
        <v>163.4</v>
      </c>
      <c r="D49" s="21">
        <v>167.2</v>
      </c>
      <c r="E49" s="21">
        <v>169.2</v>
      </c>
      <c r="F49" s="21">
        <v>196.5</v>
      </c>
      <c r="G49" s="21">
        <v>203</v>
      </c>
      <c r="H49" s="21">
        <v>213</v>
      </c>
      <c r="I49" s="21">
        <v>221</v>
      </c>
      <c r="J49" s="23">
        <v>282</v>
      </c>
      <c r="K49" s="21">
        <v>309</v>
      </c>
      <c r="L49" s="21">
        <v>329</v>
      </c>
      <c r="M49" s="21">
        <v>347</v>
      </c>
      <c r="N49" s="21">
        <v>243</v>
      </c>
      <c r="O49" s="21">
        <v>220</v>
      </c>
      <c r="P49" s="21">
        <v>213</v>
      </c>
      <c r="Q49" s="21">
        <v>240</v>
      </c>
      <c r="R49" s="21">
        <v>286</v>
      </c>
      <c r="S49" s="21">
        <v>325</v>
      </c>
      <c r="T49" s="21">
        <v>330</v>
      </c>
      <c r="U49" s="21">
        <v>318</v>
      </c>
      <c r="V49" s="21">
        <v>361</v>
      </c>
      <c r="W49" s="21">
        <v>406</v>
      </c>
      <c r="X49" s="21">
        <v>405</v>
      </c>
      <c r="Y49" s="21">
        <v>405</v>
      </c>
      <c r="Z49" s="21">
        <v>395</v>
      </c>
      <c r="AA49" s="21">
        <v>403.1</v>
      </c>
      <c r="AB49" s="23">
        <v>396</v>
      </c>
      <c r="AC49" s="23">
        <v>388</v>
      </c>
      <c r="AD49" s="23">
        <v>364</v>
      </c>
      <c r="AE49" s="23">
        <v>356</v>
      </c>
      <c r="AF49" s="23">
        <v>347</v>
      </c>
      <c r="AG49" s="23">
        <v>348</v>
      </c>
      <c r="AH49" s="23">
        <v>309.6</v>
      </c>
      <c r="AI49" s="23">
        <v>308.9898604218435</v>
      </c>
      <c r="AJ49" s="23"/>
      <c r="AK49" s="21">
        <v>173</v>
      </c>
      <c r="AL49" s="21">
        <v>169.2</v>
      </c>
      <c r="AM49" s="21">
        <v>221</v>
      </c>
      <c r="AN49" s="21">
        <v>347</v>
      </c>
      <c r="AO49" s="21">
        <f>Q49</f>
        <v>240</v>
      </c>
      <c r="AP49" s="21">
        <f>U49</f>
        <v>318</v>
      </c>
      <c r="AQ49" s="21">
        <f>Y49</f>
        <v>405</v>
      </c>
      <c r="AR49" s="21">
        <f>AC49</f>
        <v>388</v>
      </c>
      <c r="AS49" s="21">
        <f>AG49</f>
        <v>348</v>
      </c>
    </row>
    <row r="50" spans="1:45" ht="12.75">
      <c r="A50" s="18" t="s">
        <v>154</v>
      </c>
      <c r="B50" s="21">
        <v>146.30341614179122</v>
      </c>
      <c r="C50" s="21">
        <v>177.21202964955023</v>
      </c>
      <c r="D50" s="21">
        <v>213.84685671395485</v>
      </c>
      <c r="E50" s="21">
        <v>227.63536767228024</v>
      </c>
      <c r="F50" s="21">
        <v>217.69320039125628</v>
      </c>
      <c r="G50" s="21">
        <v>253.30322741067468</v>
      </c>
      <c r="H50" s="21">
        <v>265.96172566352317</v>
      </c>
      <c r="I50" s="21">
        <v>258.89338144602516</v>
      </c>
      <c r="J50" s="23">
        <v>248.4766319927568</v>
      </c>
      <c r="K50" s="21">
        <v>343.52152698387897</v>
      </c>
      <c r="L50" s="21">
        <v>405.4003798220384</v>
      </c>
      <c r="M50" s="21">
        <v>380.17665269492977</v>
      </c>
      <c r="N50" s="21">
        <f aca="true" t="shared" si="9" ref="N50:AG50">N32/N4*1000</f>
        <v>48.19162337632599</v>
      </c>
      <c r="O50" s="21">
        <f t="shared" si="9"/>
        <v>43.185113535223536</v>
      </c>
      <c r="P50" s="21">
        <f t="shared" si="9"/>
        <v>65.59422733569382</v>
      </c>
      <c r="Q50" s="21">
        <f t="shared" si="9"/>
        <v>87.98433498581097</v>
      </c>
      <c r="R50" s="21">
        <f t="shared" si="9"/>
        <v>84.70636573191356</v>
      </c>
      <c r="S50" s="21">
        <f t="shared" si="9"/>
        <v>114.45831671320303</v>
      </c>
      <c r="T50" s="21">
        <f t="shared" si="9"/>
        <v>117.39646038121639</v>
      </c>
      <c r="U50" s="21">
        <f t="shared" si="9"/>
        <v>107.38132989792885</v>
      </c>
      <c r="V50" s="21">
        <f t="shared" si="9"/>
        <v>123.66956453332364</v>
      </c>
      <c r="W50" s="21">
        <f t="shared" si="9"/>
        <v>147.34104189965413</v>
      </c>
      <c r="X50" s="21">
        <f t="shared" si="9"/>
        <v>134.14438289987933</v>
      </c>
      <c r="Y50" s="21">
        <f t="shared" si="9"/>
        <v>110.7164535201338</v>
      </c>
      <c r="Z50" s="21">
        <f t="shared" si="9"/>
        <v>33.23882698739126</v>
      </c>
      <c r="AA50" s="21">
        <f t="shared" si="9"/>
        <v>68.8605347661908</v>
      </c>
      <c r="AB50" s="21">
        <f t="shared" si="9"/>
        <v>66.35408517813191</v>
      </c>
      <c r="AC50" s="21">
        <f t="shared" si="9"/>
        <v>57.99774812149089</v>
      </c>
      <c r="AD50" s="21">
        <f t="shared" si="9"/>
        <v>-15.309146813231727</v>
      </c>
      <c r="AE50" s="21">
        <f t="shared" si="9"/>
        <v>9.428450823132122</v>
      </c>
      <c r="AF50" s="21">
        <f t="shared" si="9"/>
        <v>12.728607162519308</v>
      </c>
      <c r="AG50" s="21">
        <f t="shared" si="9"/>
        <v>10.503552867493356</v>
      </c>
      <c r="AH50" s="21">
        <f>AH32/AH4*1000</f>
        <v>48.06485928473386</v>
      </c>
      <c r="AI50" s="21">
        <f>AI32/AI4*1000</f>
        <v>65.30227496928478</v>
      </c>
      <c r="AJ50" s="23"/>
      <c r="AK50" s="21">
        <v>185.7730434240014</v>
      </c>
      <c r="AL50" s="21">
        <v>227.63536767228024</v>
      </c>
      <c r="AM50" s="21">
        <v>258.89338144602516</v>
      </c>
      <c r="AN50" s="21">
        <v>380.17665269492977</v>
      </c>
      <c r="AO50" s="21">
        <f>Q50</f>
        <v>87.98433498581097</v>
      </c>
      <c r="AP50" s="21">
        <f>U50</f>
        <v>107.38132989792885</v>
      </c>
      <c r="AQ50" s="21">
        <f>Y50</f>
        <v>110.7164535201338</v>
      </c>
      <c r="AR50" s="21">
        <f>AC50</f>
        <v>57.99774812149089</v>
      </c>
      <c r="AS50" s="21">
        <f>AG50</f>
        <v>10.503552867493356</v>
      </c>
    </row>
    <row r="51" spans="1:45" ht="12.75">
      <c r="A51" s="32"/>
      <c r="B51" s="247"/>
      <c r="C51" s="247"/>
      <c r="D51" s="247"/>
      <c r="E51" s="247"/>
      <c r="F51" s="247"/>
      <c r="G51" s="247"/>
      <c r="H51" s="248"/>
      <c r="I51" s="248"/>
      <c r="J51" s="249"/>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6"/>
      <c r="AK51" s="248"/>
      <c r="AL51" s="248"/>
      <c r="AM51" s="248"/>
      <c r="AN51" s="248"/>
      <c r="AO51" s="248"/>
      <c r="AP51" s="248"/>
      <c r="AQ51" s="248"/>
      <c r="AR51" s="248"/>
      <c r="AS51" s="248"/>
    </row>
    <row r="52" spans="1:40" ht="12.75">
      <c r="A52" s="18"/>
      <c r="B52" s="47"/>
      <c r="C52" s="47"/>
      <c r="D52" s="47"/>
      <c r="E52" s="47"/>
      <c r="F52" s="47"/>
      <c r="G52" s="47"/>
      <c r="H52" s="18"/>
      <c r="I52" s="18"/>
      <c r="J52" s="250"/>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250"/>
      <c r="AK52" s="18"/>
      <c r="AL52" s="18"/>
      <c r="AM52" s="18"/>
      <c r="AN52" s="18"/>
    </row>
    <row r="53" spans="1:40" ht="12.75">
      <c r="A53" s="251" t="s">
        <v>193</v>
      </c>
      <c r="B53" s="47"/>
      <c r="C53" s="47"/>
      <c r="D53" s="47"/>
      <c r="E53" s="47"/>
      <c r="F53" s="47"/>
      <c r="G53" s="47"/>
      <c r="H53" s="18"/>
      <c r="I53" s="18"/>
      <c r="J53" s="250"/>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250"/>
      <c r="AK53" s="18"/>
      <c r="AL53" s="18"/>
      <c r="AM53" s="18"/>
      <c r="AN53" s="18"/>
    </row>
    <row r="54" spans="1:40" ht="12.75">
      <c r="A54" s="251" t="s">
        <v>194</v>
      </c>
      <c r="B54" s="47"/>
      <c r="C54" s="47"/>
      <c r="D54" s="252"/>
      <c r="E54" s="252"/>
      <c r="F54" s="47"/>
      <c r="G54" s="47"/>
      <c r="H54" s="253"/>
      <c r="I54" s="253"/>
      <c r="J54" s="250"/>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250"/>
      <c r="AK54" s="253"/>
      <c r="AL54" s="253"/>
      <c r="AM54" s="253"/>
      <c r="AN54" s="253"/>
    </row>
    <row r="55" spans="1:40" ht="12.75">
      <c r="A55" s="251" t="s">
        <v>268</v>
      </c>
      <c r="B55" s="47"/>
      <c r="C55" s="47"/>
      <c r="D55" s="252"/>
      <c r="E55" s="252"/>
      <c r="F55" s="47"/>
      <c r="G55" s="47"/>
      <c r="H55" s="253"/>
      <c r="I55" s="253"/>
      <c r="J55" s="250"/>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250"/>
      <c r="AK55" s="253"/>
      <c r="AL55" s="253"/>
      <c r="AM55" s="253"/>
      <c r="AN55" s="253"/>
    </row>
    <row r="56" spans="1:40" ht="12.75">
      <c r="A56" s="18" t="s">
        <v>220</v>
      </c>
      <c r="B56" s="47"/>
      <c r="C56" s="47"/>
      <c r="D56" s="254"/>
      <c r="E56" s="254"/>
      <c r="F56" s="47"/>
      <c r="G56" s="47"/>
      <c r="H56" s="253"/>
      <c r="I56" s="253"/>
      <c r="J56" s="250"/>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250"/>
      <c r="AK56" s="253"/>
      <c r="AL56" s="253"/>
      <c r="AM56" s="253"/>
      <c r="AN56" s="253"/>
    </row>
    <row r="57" spans="1:40" ht="12.75">
      <c r="A57" s="18"/>
      <c r="B57" s="47"/>
      <c r="C57" s="47"/>
      <c r="D57" s="254"/>
      <c r="E57" s="254"/>
      <c r="F57" s="47"/>
      <c r="G57" s="47"/>
      <c r="H57" s="253"/>
      <c r="I57" s="253"/>
      <c r="J57" s="250"/>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250"/>
      <c r="AK57" s="253"/>
      <c r="AL57" s="253"/>
      <c r="AM57" s="253"/>
      <c r="AN57" s="253"/>
    </row>
    <row r="58" spans="1:46" ht="12.75">
      <c r="A58" s="18"/>
      <c r="B58" s="47"/>
      <c r="C58" s="47"/>
      <c r="D58" s="252"/>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row>
    <row r="59" spans="1:46" ht="12.75" hidden="1" outlineLevel="1">
      <c r="A59" s="18" t="s">
        <v>273</v>
      </c>
      <c r="B59" s="47"/>
      <c r="C59" s="47"/>
      <c r="D59" s="253"/>
      <c r="E59" s="21">
        <v>26.065</v>
      </c>
      <c r="F59" s="21">
        <v>0</v>
      </c>
      <c r="G59" s="21">
        <v>0</v>
      </c>
      <c r="H59" s="21">
        <v>0</v>
      </c>
      <c r="I59" s="21">
        <v>24.432</v>
      </c>
      <c r="J59" s="21">
        <v>0</v>
      </c>
      <c r="K59" s="21">
        <v>0</v>
      </c>
      <c r="L59" s="21">
        <v>0</v>
      </c>
      <c r="M59" s="21">
        <v>242.685</v>
      </c>
      <c r="N59" s="21">
        <v>0</v>
      </c>
      <c r="O59" s="21">
        <v>0</v>
      </c>
      <c r="P59" s="21">
        <v>0</v>
      </c>
      <c r="Q59" s="21">
        <v>98.911</v>
      </c>
      <c r="R59" s="21">
        <v>0</v>
      </c>
      <c r="S59" s="21">
        <v>0</v>
      </c>
      <c r="T59" s="21">
        <v>0</v>
      </c>
      <c r="U59" s="21">
        <v>130.044</v>
      </c>
      <c r="V59" s="21">
        <v>0</v>
      </c>
      <c r="W59" s="21">
        <v>0</v>
      </c>
      <c r="X59" s="21">
        <v>0</v>
      </c>
      <c r="Y59" s="21">
        <v>985.008310680337</v>
      </c>
      <c r="Z59" s="21">
        <v>422.622</v>
      </c>
      <c r="AA59" s="21">
        <v>884.921</v>
      </c>
      <c r="AB59" s="21">
        <v>1180.164</v>
      </c>
      <c r="AC59" s="21">
        <v>1526.183</v>
      </c>
      <c r="AD59" s="21">
        <v>346.147</v>
      </c>
      <c r="AE59" s="21">
        <v>717.061</v>
      </c>
      <c r="AF59" s="21">
        <v>1189.362</v>
      </c>
      <c r="AG59" s="21">
        <v>1396.165</v>
      </c>
      <c r="AH59" s="21">
        <v>295.909</v>
      </c>
      <c r="AI59" s="21">
        <v>567.343</v>
      </c>
      <c r="AJ59" s="21"/>
      <c r="AK59" s="29">
        <v>4.402</v>
      </c>
      <c r="AL59" s="29">
        <f>E59</f>
        <v>26.065</v>
      </c>
      <c r="AM59" s="29">
        <f>I59</f>
        <v>24.432</v>
      </c>
      <c r="AN59" s="29">
        <f>M59</f>
        <v>242.685</v>
      </c>
      <c r="AO59" s="29">
        <f>Q59</f>
        <v>98.911</v>
      </c>
      <c r="AP59" s="29">
        <f>U59</f>
        <v>130.044</v>
      </c>
      <c r="AQ59" s="29">
        <f>Y59</f>
        <v>985.008310680337</v>
      </c>
      <c r="AR59" s="29">
        <f>AC59</f>
        <v>1526.183</v>
      </c>
      <c r="AS59" s="29">
        <f>AG59</f>
        <v>1396.165</v>
      </c>
      <c r="AT59" s="21"/>
    </row>
    <row r="60" spans="1:46" ht="12.75" hidden="1" outlineLevel="1">
      <c r="A60" s="18" t="s">
        <v>274</v>
      </c>
      <c r="B60" s="47"/>
      <c r="C60" s="47"/>
      <c r="D60" s="253"/>
      <c r="E60" s="21">
        <f>E59+E28</f>
        <v>5612.79</v>
      </c>
      <c r="F60" s="21">
        <f aca="true" t="shared" si="10" ref="F60:AK60">F59+F28</f>
        <v>1598.702</v>
      </c>
      <c r="G60" s="21">
        <f t="shared" si="10"/>
        <v>3728.368</v>
      </c>
      <c r="H60" s="21">
        <f t="shared" si="10"/>
        <v>5049.271</v>
      </c>
      <c r="I60" s="21">
        <f t="shared" si="10"/>
        <v>6970.482</v>
      </c>
      <c r="J60" s="21">
        <f t="shared" si="10"/>
        <v>1779.491</v>
      </c>
      <c r="K60" s="21">
        <f t="shared" si="10"/>
        <v>4698.091</v>
      </c>
      <c r="L60" s="21">
        <f t="shared" si="10"/>
        <v>7807.105</v>
      </c>
      <c r="M60" s="21">
        <f t="shared" si="10"/>
        <v>9885.625</v>
      </c>
      <c r="N60" s="21">
        <f t="shared" si="10"/>
        <v>1136.296</v>
      </c>
      <c r="O60" s="21">
        <f t="shared" si="10"/>
        <v>2215.098</v>
      </c>
      <c r="P60" s="21">
        <f t="shared" si="10"/>
        <v>3707.774</v>
      </c>
      <c r="Q60" s="21">
        <f t="shared" si="10"/>
        <v>5404.098</v>
      </c>
      <c r="R60" s="21">
        <f t="shared" si="10"/>
        <v>1471.847</v>
      </c>
      <c r="S60" s="21">
        <f t="shared" si="10"/>
        <v>3338.067</v>
      </c>
      <c r="T60" s="21">
        <f t="shared" si="10"/>
        <v>5240.706</v>
      </c>
      <c r="U60" s="21">
        <f t="shared" si="10"/>
        <v>7290.6669999999995</v>
      </c>
      <c r="V60" s="21">
        <f t="shared" si="10"/>
        <v>1836.773</v>
      </c>
      <c r="W60" s="21">
        <f t="shared" si="10"/>
        <v>4191.676</v>
      </c>
      <c r="X60" s="21">
        <f t="shared" si="10"/>
        <v>6156.67462629287</v>
      </c>
      <c r="Y60" s="21">
        <f t="shared" si="10"/>
        <v>9027.725310680336</v>
      </c>
      <c r="Z60" s="21">
        <f t="shared" si="10"/>
        <v>2217.272</v>
      </c>
      <c r="AA60" s="21">
        <f t="shared" si="10"/>
        <v>4495.333</v>
      </c>
      <c r="AB60" s="21">
        <f t="shared" si="10"/>
        <v>6626.705</v>
      </c>
      <c r="AC60" s="21">
        <f t="shared" si="10"/>
        <v>8675.985</v>
      </c>
      <c r="AD60" s="21">
        <f t="shared" si="10"/>
        <v>2005.2089999999998</v>
      </c>
      <c r="AE60" s="21">
        <f t="shared" si="10"/>
        <v>4060.887</v>
      </c>
      <c r="AF60" s="21">
        <f t="shared" si="10"/>
        <v>6062.627</v>
      </c>
      <c r="AG60" s="21">
        <f t="shared" si="10"/>
        <v>7864.536</v>
      </c>
      <c r="AH60" s="21">
        <f t="shared" si="10"/>
        <v>2038.3229999999999</v>
      </c>
      <c r="AI60" s="21">
        <f t="shared" si="10"/>
        <v>4037.448</v>
      </c>
      <c r="AJ60" s="21"/>
      <c r="AK60" s="21">
        <f t="shared" si="10"/>
        <v>4199.638</v>
      </c>
      <c r="AL60" s="29">
        <f>E60</f>
        <v>5612.79</v>
      </c>
      <c r="AM60" s="29">
        <f>I60</f>
        <v>6970.482</v>
      </c>
      <c r="AN60" s="29">
        <f>M60</f>
        <v>9885.625</v>
      </c>
      <c r="AO60" s="29">
        <f>Q60</f>
        <v>5404.098</v>
      </c>
      <c r="AP60" s="29">
        <f>U60</f>
        <v>7290.6669999999995</v>
      </c>
      <c r="AQ60" s="29">
        <f>Y60</f>
        <v>9027.725310680336</v>
      </c>
      <c r="AR60" s="29">
        <f>AC60</f>
        <v>8675.985</v>
      </c>
      <c r="AS60" s="29">
        <f>AG60</f>
        <v>7864.536</v>
      </c>
      <c r="AT60" s="21"/>
    </row>
    <row r="61" spans="1:40" ht="12.75" collapsed="1">
      <c r="A61" s="18"/>
      <c r="B61" s="47"/>
      <c r="C61" s="252"/>
      <c r="D61" s="252"/>
      <c r="E61" s="252"/>
      <c r="F61" s="47"/>
      <c r="G61" s="47"/>
      <c r="H61" s="253"/>
      <c r="I61" s="253"/>
      <c r="J61" s="250"/>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250"/>
      <c r="AK61" s="253"/>
      <c r="AL61" s="253"/>
      <c r="AM61" s="253"/>
      <c r="AN61" s="253"/>
    </row>
    <row r="62" spans="1:40" ht="12.75">
      <c r="A62" s="18"/>
      <c r="B62" s="47"/>
      <c r="C62" s="254"/>
      <c r="D62" s="253"/>
      <c r="E62" s="252"/>
      <c r="F62" s="47"/>
      <c r="G62" s="47"/>
      <c r="I62" s="253"/>
      <c r="J62" s="250"/>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250"/>
      <c r="AK62" s="253"/>
      <c r="AL62" s="253"/>
      <c r="AM62" s="253"/>
      <c r="AN62" s="253"/>
    </row>
    <row r="63" spans="1:40" ht="12.75">
      <c r="A63" s="18"/>
      <c r="B63" s="47"/>
      <c r="C63" s="252"/>
      <c r="D63" s="252"/>
      <c r="E63" s="252"/>
      <c r="F63" s="47"/>
      <c r="G63" s="47"/>
      <c r="H63" s="253"/>
      <c r="I63" s="253"/>
      <c r="J63" s="250"/>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250"/>
      <c r="AK63" s="253"/>
      <c r="AL63" s="253"/>
      <c r="AM63" s="253"/>
      <c r="AN63" s="253"/>
    </row>
    <row r="64" spans="1:40" ht="12.75">
      <c r="A64" s="18"/>
      <c r="B64" s="47"/>
      <c r="C64" s="254"/>
      <c r="D64" s="252"/>
      <c r="E64" s="252"/>
      <c r="F64" s="47"/>
      <c r="G64" s="47"/>
      <c r="H64" s="253"/>
      <c r="I64" s="253"/>
      <c r="J64" s="250"/>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250"/>
      <c r="AK64" s="253"/>
      <c r="AL64" s="253"/>
      <c r="AM64" s="253"/>
      <c r="AN64" s="253"/>
    </row>
    <row r="65" spans="1:45" s="194" customFormat="1" ht="12.75">
      <c r="A65" s="18"/>
      <c r="B65" s="47"/>
      <c r="C65" s="254"/>
      <c r="D65" s="252"/>
      <c r="E65" s="252"/>
      <c r="F65" s="47"/>
      <c r="G65" s="47"/>
      <c r="H65" s="253"/>
      <c r="I65" s="253"/>
      <c r="J65" s="250"/>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250"/>
      <c r="AK65" s="253"/>
      <c r="AL65" s="253"/>
      <c r="AM65" s="253"/>
      <c r="AN65" s="253"/>
      <c r="AO65" s="232"/>
      <c r="AP65" s="232"/>
      <c r="AQ65" s="232"/>
      <c r="AR65" s="232"/>
      <c r="AS65" s="232"/>
    </row>
    <row r="66" spans="1:40" ht="12.75">
      <c r="A66" s="18"/>
      <c r="B66" s="47"/>
      <c r="C66" s="254"/>
      <c r="D66" s="252"/>
      <c r="E66" s="252"/>
      <c r="F66" s="47"/>
      <c r="G66" s="47"/>
      <c r="H66" s="253"/>
      <c r="I66" s="253"/>
      <c r="J66" s="250"/>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250"/>
      <c r="AK66" s="253"/>
      <c r="AL66" s="253"/>
      <c r="AM66" s="253"/>
      <c r="AN66" s="253"/>
    </row>
    <row r="67" spans="1:45" s="194" customFormat="1" ht="12.75">
      <c r="A67" s="18"/>
      <c r="B67" s="47"/>
      <c r="C67" s="254"/>
      <c r="D67" s="252"/>
      <c r="E67" s="252"/>
      <c r="F67" s="47"/>
      <c r="G67" s="47"/>
      <c r="H67" s="253"/>
      <c r="I67" s="253"/>
      <c r="J67" s="250"/>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250"/>
      <c r="AK67" s="253"/>
      <c r="AL67" s="253"/>
      <c r="AM67" s="253"/>
      <c r="AN67" s="253"/>
      <c r="AO67" s="232"/>
      <c r="AP67" s="232"/>
      <c r="AQ67" s="232"/>
      <c r="AR67" s="232"/>
      <c r="AS67" s="232"/>
    </row>
    <row r="68" spans="1:40" ht="12.75">
      <c r="A68" s="18"/>
      <c r="B68" s="47"/>
      <c r="C68" s="252"/>
      <c r="D68" s="252"/>
      <c r="E68" s="252"/>
      <c r="F68" s="252"/>
      <c r="G68" s="252"/>
      <c r="H68" s="253"/>
      <c r="I68" s="253"/>
      <c r="J68" s="256"/>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6"/>
      <c r="AK68" s="253"/>
      <c r="AL68" s="253"/>
      <c r="AM68" s="253"/>
      <c r="AN68" s="253"/>
    </row>
    <row r="69" spans="1:40" ht="12.75">
      <c r="A69" s="18"/>
      <c r="B69" s="47"/>
      <c r="C69" s="252"/>
      <c r="D69" s="252"/>
      <c r="E69" s="252"/>
      <c r="F69" s="252"/>
      <c r="G69" s="252"/>
      <c r="H69" s="253"/>
      <c r="I69" s="253"/>
      <c r="J69" s="256"/>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6"/>
      <c r="AK69" s="253"/>
      <c r="AL69" s="253"/>
      <c r="AM69" s="253"/>
      <c r="AN69" s="253"/>
    </row>
    <row r="70" spans="1:40" ht="12.75">
      <c r="A70" s="18"/>
      <c r="B70" s="47"/>
      <c r="C70" s="252"/>
      <c r="D70" s="252"/>
      <c r="E70" s="252"/>
      <c r="F70" s="252"/>
      <c r="G70" s="252"/>
      <c r="H70" s="253"/>
      <c r="I70" s="253"/>
      <c r="J70" s="256"/>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6"/>
      <c r="AK70" s="253"/>
      <c r="AL70" s="253"/>
      <c r="AM70" s="253"/>
      <c r="AN70" s="253"/>
    </row>
    <row r="71" spans="1:40" ht="12.75">
      <c r="A71" s="18"/>
      <c r="B71" s="47"/>
      <c r="C71" s="252"/>
      <c r="D71" s="252"/>
      <c r="E71" s="252"/>
      <c r="F71" s="252"/>
      <c r="G71" s="252"/>
      <c r="H71" s="253"/>
      <c r="I71" s="253"/>
      <c r="J71" s="256"/>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6"/>
      <c r="AK71" s="253"/>
      <c r="AL71" s="253"/>
      <c r="AM71" s="253"/>
      <c r="AN71" s="253"/>
    </row>
    <row r="72" spans="1:40" ht="12.75">
      <c r="A72" s="18"/>
      <c r="B72" s="47"/>
      <c r="C72" s="252"/>
      <c r="D72" s="252"/>
      <c r="E72" s="252"/>
      <c r="F72" s="252"/>
      <c r="G72" s="252"/>
      <c r="H72" s="253"/>
      <c r="I72" s="253"/>
      <c r="J72" s="256"/>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6"/>
      <c r="AK72" s="253"/>
      <c r="AL72" s="253"/>
      <c r="AM72" s="253"/>
      <c r="AN72" s="253"/>
    </row>
    <row r="73" spans="1:40" ht="12.75">
      <c r="A73" s="18"/>
      <c r="B73" s="47"/>
      <c r="C73" s="252"/>
      <c r="D73" s="252"/>
      <c r="E73" s="252"/>
      <c r="F73" s="252"/>
      <c r="G73" s="252"/>
      <c r="H73" s="253"/>
      <c r="I73" s="253"/>
      <c r="J73" s="256"/>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6"/>
      <c r="AK73" s="253"/>
      <c r="AL73" s="253"/>
      <c r="AM73" s="253"/>
      <c r="AN73" s="253"/>
    </row>
    <row r="74" spans="1:40" ht="12.75">
      <c r="A74" s="18"/>
      <c r="B74" s="47"/>
      <c r="C74" s="257"/>
      <c r="D74" s="257"/>
      <c r="E74" s="257"/>
      <c r="F74" s="257"/>
      <c r="G74" s="257"/>
      <c r="H74" s="258"/>
      <c r="I74" s="258"/>
      <c r="J74" s="259"/>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9"/>
      <c r="AK74" s="258"/>
      <c r="AL74" s="258"/>
      <c r="AM74" s="258"/>
      <c r="AN74" s="258"/>
    </row>
    <row r="75" spans="1:40" ht="12.75">
      <c r="A75" s="18"/>
      <c r="B75" s="257"/>
      <c r="C75" s="257"/>
      <c r="D75" s="257"/>
      <c r="E75" s="257"/>
      <c r="F75" s="257"/>
      <c r="G75" s="257"/>
      <c r="H75" s="258"/>
      <c r="I75" s="258"/>
      <c r="J75" s="259"/>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9"/>
      <c r="AK75" s="258"/>
      <c r="AL75" s="258"/>
      <c r="AM75" s="258"/>
      <c r="AN75" s="258"/>
    </row>
    <row r="76" spans="1:40" ht="12.75">
      <c r="A76" s="18"/>
      <c r="B76" s="257"/>
      <c r="C76" s="257"/>
      <c r="D76" s="257"/>
      <c r="E76" s="257"/>
      <c r="F76" s="257"/>
      <c r="G76" s="257"/>
      <c r="H76" s="258"/>
      <c r="I76" s="258"/>
      <c r="J76" s="259"/>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9"/>
      <c r="AK76" s="258"/>
      <c r="AL76" s="258"/>
      <c r="AM76" s="258"/>
      <c r="AN76" s="258"/>
    </row>
    <row r="77" spans="1:40" ht="12.75">
      <c r="A77" s="18"/>
      <c r="B77" s="257"/>
      <c r="C77" s="257"/>
      <c r="D77" s="257"/>
      <c r="E77" s="257"/>
      <c r="F77" s="257"/>
      <c r="G77" s="257"/>
      <c r="H77" s="258"/>
      <c r="I77" s="258"/>
      <c r="J77" s="259"/>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9"/>
      <c r="AK77" s="258"/>
      <c r="AL77" s="258"/>
      <c r="AM77" s="258"/>
      <c r="AN77" s="258"/>
    </row>
    <row r="78" spans="1:40" ht="12.75">
      <c r="A78" s="18"/>
      <c r="B78" s="257"/>
      <c r="C78" s="257"/>
      <c r="D78" s="257"/>
      <c r="E78" s="257"/>
      <c r="F78" s="257"/>
      <c r="G78" s="257"/>
      <c r="H78" s="258"/>
      <c r="I78" s="258"/>
      <c r="J78" s="259"/>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9"/>
      <c r="AK78" s="258"/>
      <c r="AL78" s="258"/>
      <c r="AM78" s="258"/>
      <c r="AN78" s="258"/>
    </row>
    <row r="79" spans="1:40" ht="12.75">
      <c r="A79" s="18"/>
      <c r="B79" s="257"/>
      <c r="C79" s="257"/>
      <c r="D79" s="257"/>
      <c r="E79" s="257"/>
      <c r="F79" s="257"/>
      <c r="G79" s="257"/>
      <c r="H79" s="258"/>
      <c r="I79" s="258"/>
      <c r="J79" s="259"/>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9"/>
      <c r="AK79" s="258"/>
      <c r="AL79" s="258"/>
      <c r="AM79" s="258"/>
      <c r="AN79" s="258"/>
    </row>
    <row r="80" spans="1:40" ht="12.75">
      <c r="A80" s="18"/>
      <c r="B80" s="257"/>
      <c r="C80" s="257"/>
      <c r="D80" s="257"/>
      <c r="E80" s="257"/>
      <c r="F80" s="257"/>
      <c r="G80" s="257"/>
      <c r="H80" s="258"/>
      <c r="I80" s="258"/>
      <c r="J80" s="259"/>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9"/>
      <c r="AK80" s="258"/>
      <c r="AL80" s="258"/>
      <c r="AM80" s="258"/>
      <c r="AN80" s="258"/>
    </row>
    <row r="81" spans="1:45" s="194" customFormat="1" ht="12.75">
      <c r="A81" s="18"/>
      <c r="B81" s="257"/>
      <c r="C81" s="257"/>
      <c r="D81" s="257"/>
      <c r="E81" s="257"/>
      <c r="F81" s="257"/>
      <c r="G81" s="257"/>
      <c r="H81" s="258"/>
      <c r="I81" s="258"/>
      <c r="J81" s="259"/>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9"/>
      <c r="AK81" s="258"/>
      <c r="AL81" s="258"/>
      <c r="AM81" s="258"/>
      <c r="AN81" s="258"/>
      <c r="AO81" s="232"/>
      <c r="AP81" s="232"/>
      <c r="AQ81" s="232"/>
      <c r="AR81" s="232"/>
      <c r="AS81" s="232"/>
    </row>
    <row r="82" spans="1:40" ht="12.75">
      <c r="A82" s="18"/>
      <c r="B82" s="257"/>
      <c r="C82" s="257"/>
      <c r="D82" s="257"/>
      <c r="E82" s="257"/>
      <c r="F82" s="257"/>
      <c r="G82" s="257"/>
      <c r="H82" s="258"/>
      <c r="I82" s="258"/>
      <c r="J82" s="259"/>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9"/>
      <c r="AK82" s="258"/>
      <c r="AL82" s="258"/>
      <c r="AM82" s="258"/>
      <c r="AN82" s="258"/>
    </row>
    <row r="83" spans="1:40" ht="12.75">
      <c r="A83" s="18"/>
      <c r="B83" s="257"/>
      <c r="C83" s="257"/>
      <c r="D83" s="257"/>
      <c r="E83" s="257"/>
      <c r="F83" s="257"/>
      <c r="G83" s="257"/>
      <c r="H83" s="258"/>
      <c r="I83" s="258"/>
      <c r="J83" s="259"/>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9"/>
      <c r="AK83" s="258"/>
      <c r="AL83" s="258"/>
      <c r="AM83" s="258"/>
      <c r="AN83" s="258"/>
    </row>
    <row r="84" spans="1:40" ht="12.75">
      <c r="A84" s="18"/>
      <c r="B84" s="257"/>
      <c r="C84" s="257"/>
      <c r="D84" s="257"/>
      <c r="E84" s="257"/>
      <c r="F84" s="257"/>
      <c r="G84" s="257"/>
      <c r="H84" s="258"/>
      <c r="I84" s="258"/>
      <c r="J84" s="259"/>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257"/>
      <c r="AH84" s="257"/>
      <c r="AI84" s="257"/>
      <c r="AJ84" s="259"/>
      <c r="AK84" s="258"/>
      <c r="AL84" s="258"/>
      <c r="AM84" s="258"/>
      <c r="AN84" s="258"/>
    </row>
    <row r="85" spans="1:45" s="194" customFormat="1" ht="12.75">
      <c r="A85" s="18"/>
      <c r="B85" s="257"/>
      <c r="C85" s="257"/>
      <c r="D85" s="257"/>
      <c r="E85" s="257"/>
      <c r="F85" s="257"/>
      <c r="G85" s="257"/>
      <c r="H85" s="258"/>
      <c r="I85" s="258"/>
      <c r="J85" s="259"/>
      <c r="K85" s="257"/>
      <c r="L85" s="257"/>
      <c r="M85" s="257"/>
      <c r="N85" s="257"/>
      <c r="O85" s="257"/>
      <c r="P85" s="257"/>
      <c r="Q85" s="257"/>
      <c r="R85" s="257"/>
      <c r="S85" s="257"/>
      <c r="T85" s="257"/>
      <c r="U85" s="257"/>
      <c r="V85" s="257"/>
      <c r="W85" s="257"/>
      <c r="X85" s="257"/>
      <c r="Y85" s="257"/>
      <c r="Z85" s="257"/>
      <c r="AA85" s="257"/>
      <c r="AB85" s="257"/>
      <c r="AC85" s="257"/>
      <c r="AD85" s="257"/>
      <c r="AE85" s="257"/>
      <c r="AF85" s="257"/>
      <c r="AG85" s="257"/>
      <c r="AH85" s="257"/>
      <c r="AI85" s="257"/>
      <c r="AJ85" s="259"/>
      <c r="AK85" s="258"/>
      <c r="AL85" s="258"/>
      <c r="AM85" s="258"/>
      <c r="AN85" s="258"/>
      <c r="AO85" s="232"/>
      <c r="AP85" s="232"/>
      <c r="AQ85" s="232"/>
      <c r="AR85" s="232"/>
      <c r="AS85" s="232"/>
    </row>
    <row r="86" spans="1:40" ht="12.75">
      <c r="A86" s="18"/>
      <c r="B86" s="257"/>
      <c r="C86" s="257"/>
      <c r="D86" s="257"/>
      <c r="E86" s="257"/>
      <c r="F86" s="257"/>
      <c r="G86" s="257"/>
      <c r="H86" s="258"/>
      <c r="I86" s="258"/>
      <c r="J86" s="259"/>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7"/>
      <c r="AI86" s="257"/>
      <c r="AJ86" s="259"/>
      <c r="AK86" s="258"/>
      <c r="AL86" s="258"/>
      <c r="AM86" s="258"/>
      <c r="AN86" s="258"/>
    </row>
    <row r="87" spans="1:45" s="194" customFormat="1" ht="12.75">
      <c r="A87" s="18"/>
      <c r="B87" s="257"/>
      <c r="C87" s="257"/>
      <c r="D87" s="257"/>
      <c r="E87" s="257"/>
      <c r="F87" s="257"/>
      <c r="G87" s="257"/>
      <c r="H87" s="258"/>
      <c r="I87" s="258"/>
      <c r="J87" s="259"/>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9"/>
      <c r="AK87" s="258"/>
      <c r="AL87" s="258"/>
      <c r="AM87" s="258"/>
      <c r="AN87" s="258"/>
      <c r="AO87" s="232"/>
      <c r="AP87" s="232"/>
      <c r="AQ87" s="232"/>
      <c r="AR87" s="232"/>
      <c r="AS87" s="232"/>
    </row>
    <row r="88" spans="1:40" ht="12.75">
      <c r="A88" s="18"/>
      <c r="B88" s="257"/>
      <c r="C88" s="257"/>
      <c r="D88" s="257"/>
      <c r="E88" s="257"/>
      <c r="F88" s="257"/>
      <c r="G88" s="257"/>
      <c r="H88" s="258"/>
      <c r="I88" s="258"/>
      <c r="J88" s="259"/>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9"/>
      <c r="AK88" s="258"/>
      <c r="AL88" s="258"/>
      <c r="AM88" s="258"/>
      <c r="AN88" s="258"/>
    </row>
    <row r="89" spans="1:40" ht="12.75">
      <c r="A89" s="18"/>
      <c r="B89" s="257"/>
      <c r="C89" s="257"/>
      <c r="D89" s="257"/>
      <c r="E89" s="257"/>
      <c r="F89" s="257"/>
      <c r="G89" s="257"/>
      <c r="H89" s="258"/>
      <c r="I89" s="258"/>
      <c r="J89" s="259"/>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9"/>
      <c r="AK89" s="258"/>
      <c r="AL89" s="258"/>
      <c r="AM89" s="258"/>
      <c r="AN89" s="258"/>
    </row>
    <row r="90" spans="1:40" ht="12.75">
      <c r="A90" s="18"/>
      <c r="B90" s="257"/>
      <c r="C90" s="257"/>
      <c r="D90" s="257"/>
      <c r="E90" s="257"/>
      <c r="F90" s="257"/>
      <c r="G90" s="257"/>
      <c r="H90" s="258"/>
      <c r="I90" s="258"/>
      <c r="J90" s="259"/>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9"/>
      <c r="AK90" s="258"/>
      <c r="AL90" s="258"/>
      <c r="AM90" s="258"/>
      <c r="AN90" s="258"/>
    </row>
    <row r="91" spans="1:40" ht="12.75">
      <c r="A91" s="18"/>
      <c r="B91" s="257"/>
      <c r="C91" s="257"/>
      <c r="D91" s="257"/>
      <c r="E91" s="257"/>
      <c r="F91" s="257"/>
      <c r="G91" s="257"/>
      <c r="H91" s="258"/>
      <c r="I91" s="258"/>
      <c r="J91" s="259"/>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9"/>
      <c r="AK91" s="258"/>
      <c r="AL91" s="258"/>
      <c r="AM91" s="258"/>
      <c r="AN91" s="258"/>
    </row>
    <row r="92" ht="12.75">
      <c r="A92" s="18"/>
    </row>
    <row r="93" ht="12.75">
      <c r="A93" s="18"/>
    </row>
  </sheetData>
  <sheetProtection/>
  <printOptions/>
  <pageMargins left="0.25" right="0.25" top="0.75" bottom="0.75" header="0.3" footer="0.3"/>
  <pageSetup fitToHeight="1" fitToWidth="1" horizontalDpi="600" verticalDpi="600" orientation="landscape" paperSize="9" scale="65" r:id="rId1"/>
  <headerFooter alignWithMargins="0">
    <oddFooter>&amp;CPage &amp;P of &amp;N&amp;R&amp;F&amp;A</oddFooter>
  </headerFooter>
  <ignoredErrors>
    <ignoredError sqref="AO22:AP22 AO29 AO10 AO8:AO9 AO6:AO7 AO5:AP5 AP10 AP6:AP7 AP8:AP9 AO18:AO21 AO17:AP17 AP18:AP21 AP29 AO31 AQ31 AQ12 AQ8:AQ10 AQ29 AQ17:AQ24 AQ6 AQ5:AR5 AQ7:AR7 AR6 AQ26:AR26 AR17:AR24 AR29 AQ11:AR11 AR8:AR10 AQ14:AR14 AR12 AR31 AQ16:AR16 AQ15 AQ27 AP31 AQ33"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AS84"/>
  <sheetViews>
    <sheetView showGridLines="0" view="pageBreakPreview" zoomScaleSheetLayoutView="100" zoomScalePageLayoutView="0" workbookViewId="0" topLeftCell="A1">
      <selection activeCell="AL36" sqref="AL36"/>
    </sheetView>
  </sheetViews>
  <sheetFormatPr defaultColWidth="11.421875" defaultRowHeight="12.75" outlineLevelRow="1" outlineLevelCol="1"/>
  <cols>
    <col min="1" max="1" width="39.00390625" style="36" customWidth="1"/>
    <col min="2" max="7" width="6.7109375" style="232" hidden="1" customWidth="1" outlineLevel="1"/>
    <col min="8" max="8" width="6.7109375" style="36" hidden="1" customWidth="1" outlineLevel="1"/>
    <col min="9" max="9" width="6.7109375" style="36" customWidth="1" collapsed="1"/>
    <col min="10" max="12" width="6.7109375" style="260" hidden="1" customWidth="1" outlineLevel="1"/>
    <col min="13" max="13" width="7.57421875" style="260" customWidth="1" collapsed="1"/>
    <col min="14" max="16" width="6.7109375" style="36" hidden="1" customWidth="1" outlineLevel="1"/>
    <col min="17" max="17" width="6.7109375" style="36" customWidth="1" collapsed="1"/>
    <col min="18" max="20" width="6.7109375" style="36" hidden="1" customWidth="1" outlineLevel="1"/>
    <col min="21" max="21" width="6.7109375" style="36" customWidth="1" collapsed="1"/>
    <col min="22" max="24" width="6.7109375" style="36" hidden="1" customWidth="1" outlineLevel="1"/>
    <col min="25" max="25" width="6.7109375" style="36" customWidth="1" collapsed="1"/>
    <col min="26" max="35" width="6.7109375" style="36" customWidth="1"/>
    <col min="36" max="36" width="8.8515625" style="261" customWidth="1"/>
    <col min="37" max="37" width="9.00390625" style="36" customWidth="1"/>
    <col min="38" max="39" width="6.7109375" style="36" customWidth="1"/>
    <col min="40" max="40" width="8.421875" style="36" customWidth="1"/>
    <col min="41" max="48" width="6.7109375" style="36" customWidth="1"/>
    <col min="49" max="16384" width="11.421875" style="36" customWidth="1"/>
  </cols>
  <sheetData>
    <row r="1" spans="1:36" s="194" customFormat="1" ht="15">
      <c r="A1" s="194" t="s">
        <v>195</v>
      </c>
      <c r="B1" s="229"/>
      <c r="C1" s="229"/>
      <c r="D1" s="229"/>
      <c r="E1" s="229"/>
      <c r="F1" s="229"/>
      <c r="G1" s="229"/>
      <c r="J1" s="230"/>
      <c r="K1" s="230"/>
      <c r="L1" s="230"/>
      <c r="M1" s="230"/>
      <c r="AJ1" s="231"/>
    </row>
    <row r="3" spans="1:45" ht="12.75">
      <c r="A3" s="2" t="s">
        <v>196</v>
      </c>
      <c r="B3" s="3" t="s">
        <v>6</v>
      </c>
      <c r="C3" s="4" t="s">
        <v>20</v>
      </c>
      <c r="D3" s="4" t="s">
        <v>21</v>
      </c>
      <c r="E3" s="4" t="s">
        <v>22</v>
      </c>
      <c r="F3" s="3" t="s">
        <v>0</v>
      </c>
      <c r="G3" s="3" t="s">
        <v>19</v>
      </c>
      <c r="H3" s="4" t="s">
        <v>18</v>
      </c>
      <c r="I3" s="4" t="s">
        <v>136</v>
      </c>
      <c r="J3" s="5" t="s">
        <v>160</v>
      </c>
      <c r="K3" s="3" t="s">
        <v>163</v>
      </c>
      <c r="L3" s="3" t="s">
        <v>164</v>
      </c>
      <c r="M3" s="3" t="s">
        <v>165</v>
      </c>
      <c r="N3" s="4" t="s">
        <v>172</v>
      </c>
      <c r="O3" s="4" t="s">
        <v>181</v>
      </c>
      <c r="P3" s="4" t="s">
        <v>183</v>
      </c>
      <c r="Q3" s="4" t="s">
        <v>185</v>
      </c>
      <c r="R3" s="4" t="s">
        <v>187</v>
      </c>
      <c r="S3" s="4" t="s">
        <v>202</v>
      </c>
      <c r="T3" s="4" t="s">
        <v>205</v>
      </c>
      <c r="U3" s="4" t="s">
        <v>206</v>
      </c>
      <c r="V3" s="4" t="s">
        <v>210</v>
      </c>
      <c r="W3" s="4" t="s">
        <v>211</v>
      </c>
      <c r="X3" s="4" t="s">
        <v>213</v>
      </c>
      <c r="Y3" s="4" t="s">
        <v>218</v>
      </c>
      <c r="Z3" s="4" t="s">
        <v>225</v>
      </c>
      <c r="AA3" s="4" t="s">
        <v>231</v>
      </c>
      <c r="AB3" s="4" t="s">
        <v>241</v>
      </c>
      <c r="AC3" s="4" t="s">
        <v>244</v>
      </c>
      <c r="AD3" s="4" t="s">
        <v>245</v>
      </c>
      <c r="AE3" s="4" t="s">
        <v>247</v>
      </c>
      <c r="AF3" s="4" t="s">
        <v>252</v>
      </c>
      <c r="AG3" s="4" t="s">
        <v>259</v>
      </c>
      <c r="AH3" s="4" t="s">
        <v>266</v>
      </c>
      <c r="AI3" s="4" t="s">
        <v>269</v>
      </c>
      <c r="AJ3" s="6"/>
      <c r="AK3" s="4">
        <v>2005</v>
      </c>
      <c r="AL3" s="4">
        <v>2006</v>
      </c>
      <c r="AM3" s="4">
        <v>2007</v>
      </c>
      <c r="AN3" s="4">
        <v>2008</v>
      </c>
      <c r="AO3" s="4">
        <v>2009</v>
      </c>
      <c r="AP3" s="4">
        <v>2010</v>
      </c>
      <c r="AQ3" s="4">
        <v>2011</v>
      </c>
      <c r="AR3" s="4">
        <v>2012</v>
      </c>
      <c r="AS3" s="4">
        <v>2013</v>
      </c>
    </row>
    <row r="4" spans="1:45" ht="12.75">
      <c r="A4" s="7" t="s">
        <v>156</v>
      </c>
      <c r="B4" s="21" t="s">
        <v>141</v>
      </c>
      <c r="C4" s="21" t="s">
        <v>141</v>
      </c>
      <c r="D4" s="21" t="s">
        <v>141</v>
      </c>
      <c r="E4" s="21" t="s">
        <v>141</v>
      </c>
      <c r="F4" s="21" t="s">
        <v>141</v>
      </c>
      <c r="G4" s="21" t="s">
        <v>141</v>
      </c>
      <c r="H4" s="21" t="s">
        <v>141</v>
      </c>
      <c r="I4" s="21">
        <v>103.84734030000001</v>
      </c>
      <c r="J4" s="23">
        <v>476.21686908000004</v>
      </c>
      <c r="K4" s="23">
        <v>1000.06179584</v>
      </c>
      <c r="L4" s="23">
        <v>1511.7306035699999</v>
      </c>
      <c r="M4" s="23">
        <v>1772.73371159</v>
      </c>
      <c r="N4" s="21">
        <f>N6+N8+N10</f>
        <v>442.3991523605242</v>
      </c>
      <c r="O4" s="21">
        <f>O6+O8+O10</f>
        <v>806.9566901305241</v>
      </c>
      <c r="P4" s="21">
        <v>1304.8771698955238</v>
      </c>
      <c r="Q4" s="21">
        <v>1677.025060475526</v>
      </c>
      <c r="R4" s="21">
        <v>315.6606798500001</v>
      </c>
      <c r="S4" s="21">
        <v>674</v>
      </c>
      <c r="T4" s="21">
        <v>1175.8899682</v>
      </c>
      <c r="U4" s="21">
        <v>1640</v>
      </c>
      <c r="V4" s="21">
        <f>V6+V8+V10</f>
        <v>350.2439787520001</v>
      </c>
      <c r="W4" s="21">
        <f>W6+W8+W10</f>
        <v>787.4762451019999</v>
      </c>
      <c r="X4" s="21">
        <f>SUM(X6:X10)</f>
        <v>1263.9483437100002</v>
      </c>
      <c r="Y4" s="21">
        <f>SUM(Y6:Y10)</f>
        <v>1640.9522658419999</v>
      </c>
      <c r="Z4" s="21">
        <f>SUM(Z6:Z10)</f>
        <v>388.21230599999996</v>
      </c>
      <c r="AA4" s="21">
        <f>AA6+AA8+AA10</f>
        <v>853.9938049999996</v>
      </c>
      <c r="AB4" s="21">
        <v>1298.5260519999997</v>
      </c>
      <c r="AC4" s="21">
        <v>1699.1445929999963</v>
      </c>
      <c r="AD4" s="21">
        <v>429.998217999999</v>
      </c>
      <c r="AE4" s="21">
        <v>899.1138549999982</v>
      </c>
      <c r="AF4" s="21">
        <v>1468.8978999999981</v>
      </c>
      <c r="AG4" s="21">
        <v>2102.0653049999996</v>
      </c>
      <c r="AH4" s="21">
        <v>643.744774</v>
      </c>
      <c r="AI4" s="21">
        <v>1375.687398</v>
      </c>
      <c r="AJ4" s="23"/>
      <c r="AK4" s="21" t="s">
        <v>141</v>
      </c>
      <c r="AL4" s="21" t="s">
        <v>141</v>
      </c>
      <c r="AM4" s="21">
        <v>103.84734030000001</v>
      </c>
      <c r="AN4" s="21">
        <v>1772.73371159</v>
      </c>
      <c r="AO4" s="21">
        <f>Q4</f>
        <v>1677.025060475526</v>
      </c>
      <c r="AP4" s="21">
        <f>U4</f>
        <v>1640</v>
      </c>
      <c r="AQ4" s="21">
        <f>Y4</f>
        <v>1640.9522658419999</v>
      </c>
      <c r="AR4" s="21">
        <f>AC4</f>
        <v>1699.1445929999963</v>
      </c>
      <c r="AS4" s="21">
        <f>AG4</f>
        <v>2102.0653049999996</v>
      </c>
    </row>
    <row r="5" spans="1:45" s="237" customFormat="1" ht="12.75">
      <c r="A5" s="9" t="s">
        <v>137</v>
      </c>
      <c r="B5" s="233"/>
      <c r="C5" s="233"/>
      <c r="D5" s="233"/>
      <c r="E5" s="233"/>
      <c r="F5" s="233"/>
      <c r="G5" s="233"/>
      <c r="H5" s="234"/>
      <c r="I5" s="234"/>
      <c r="J5" s="240"/>
      <c r="K5" s="240"/>
      <c r="L5" s="241"/>
      <c r="M5" s="241"/>
      <c r="N5" s="234"/>
      <c r="O5" s="234"/>
      <c r="P5" s="234"/>
      <c r="Q5" s="234"/>
      <c r="R5" s="234"/>
      <c r="S5" s="234"/>
      <c r="T5" s="234"/>
      <c r="U5" s="234"/>
      <c r="V5" s="234"/>
      <c r="W5" s="234"/>
      <c r="X5" s="234"/>
      <c r="Y5" s="234"/>
      <c r="Z5" s="234"/>
      <c r="AA5" s="234"/>
      <c r="AB5" s="234"/>
      <c r="AC5" s="234"/>
      <c r="AD5" s="234"/>
      <c r="AE5" s="234"/>
      <c r="AF5" s="234"/>
      <c r="AG5" s="234"/>
      <c r="AH5" s="234"/>
      <c r="AI5" s="234"/>
      <c r="AJ5" s="23"/>
      <c r="AK5" s="234"/>
      <c r="AL5" s="262"/>
      <c r="AM5" s="262"/>
      <c r="AN5" s="262">
        <f aca="true" t="shared" si="0" ref="AN5:AS5">AN4/AM4-1</f>
        <v>16.070574041365216</v>
      </c>
      <c r="AO5" s="262">
        <f t="shared" si="0"/>
        <v>-0.053989299401674296</v>
      </c>
      <c r="AP5" s="262">
        <f t="shared" si="0"/>
        <v>-0.02207782182159368</v>
      </c>
      <c r="AQ5" s="262">
        <f t="shared" si="0"/>
        <v>0.00058064990365847</v>
      </c>
      <c r="AR5" s="262">
        <f t="shared" si="0"/>
        <v>0.035462534998321305</v>
      </c>
      <c r="AS5" s="262">
        <f t="shared" si="0"/>
        <v>0.23713150349883394</v>
      </c>
    </row>
    <row r="6" spans="1:45" ht="12.75">
      <c r="A6" s="238" t="s">
        <v>151</v>
      </c>
      <c r="B6" s="21" t="s">
        <v>141</v>
      </c>
      <c r="C6" s="21" t="s">
        <v>141</v>
      </c>
      <c r="D6" s="21" t="s">
        <v>141</v>
      </c>
      <c r="E6" s="21" t="s">
        <v>141</v>
      </c>
      <c r="F6" s="21" t="s">
        <v>141</v>
      </c>
      <c r="G6" s="21" t="s">
        <v>141</v>
      </c>
      <c r="H6" s="21" t="s">
        <v>141</v>
      </c>
      <c r="I6" s="21">
        <v>14.676879999999999</v>
      </c>
      <c r="J6" s="23">
        <v>121.33000999999999</v>
      </c>
      <c r="K6" s="23">
        <v>293.42871499999995</v>
      </c>
      <c r="L6" s="23">
        <v>464.2714629999999</v>
      </c>
      <c r="M6" s="23">
        <v>541.2443210000001</v>
      </c>
      <c r="N6" s="21">
        <v>71.87723599999988</v>
      </c>
      <c r="O6" s="21">
        <v>128.651282</v>
      </c>
      <c r="P6" s="21">
        <v>188.961177</v>
      </c>
      <c r="Q6" s="21">
        <v>272.88338799999997</v>
      </c>
      <c r="R6" s="21">
        <v>31.02146</v>
      </c>
      <c r="S6" s="21">
        <v>94</v>
      </c>
      <c r="T6" s="21">
        <v>166.704974</v>
      </c>
      <c r="U6" s="21">
        <v>262.577162</v>
      </c>
      <c r="V6" s="21">
        <v>2.3447100919999997</v>
      </c>
      <c r="W6" s="21">
        <v>2.351930092</v>
      </c>
      <c r="X6" s="21">
        <v>52</v>
      </c>
      <c r="Y6" s="21">
        <v>90.22387409199975</v>
      </c>
      <c r="Z6" s="21">
        <v>0</v>
      </c>
      <c r="AA6" s="21">
        <v>1.9055799999999998</v>
      </c>
      <c r="AB6" s="21">
        <v>1.9055799999999998</v>
      </c>
      <c r="AC6" s="21">
        <v>1.92006999999999</v>
      </c>
      <c r="AD6" s="21">
        <v>0</v>
      </c>
      <c r="AE6" s="21">
        <v>1.09443</v>
      </c>
      <c r="AF6" s="21">
        <v>35.551679999999976</v>
      </c>
      <c r="AG6" s="21">
        <v>119.82520000000001</v>
      </c>
      <c r="AH6" s="21">
        <v>76.22084</v>
      </c>
      <c r="AI6" s="21">
        <v>153.28127</v>
      </c>
      <c r="AJ6" s="23"/>
      <c r="AK6" s="21" t="s">
        <v>141</v>
      </c>
      <c r="AL6" s="21" t="s">
        <v>141</v>
      </c>
      <c r="AM6" s="21">
        <v>14.676879999999999</v>
      </c>
      <c r="AN6" s="21">
        <v>541.2443210000001</v>
      </c>
      <c r="AO6" s="21">
        <f>Q6</f>
        <v>272.88338799999997</v>
      </c>
      <c r="AP6" s="21">
        <f>U6</f>
        <v>262.577162</v>
      </c>
      <c r="AQ6" s="21">
        <f>Y6</f>
        <v>90.22387409199975</v>
      </c>
      <c r="AR6" s="21">
        <f>AC6</f>
        <v>1.92006999999999</v>
      </c>
      <c r="AS6" s="21">
        <f>AG6</f>
        <v>119.82520000000001</v>
      </c>
    </row>
    <row r="7" spans="1:45" s="237" customFormat="1" ht="12.75">
      <c r="A7" s="9" t="s">
        <v>137</v>
      </c>
      <c r="B7" s="233"/>
      <c r="C7" s="233"/>
      <c r="D7" s="233"/>
      <c r="E7" s="233"/>
      <c r="F7" s="233"/>
      <c r="G7" s="233"/>
      <c r="H7" s="234"/>
      <c r="I7" s="234"/>
      <c r="J7" s="240"/>
      <c r="K7" s="240"/>
      <c r="L7" s="241"/>
      <c r="M7" s="241"/>
      <c r="N7" s="234"/>
      <c r="O7" s="234"/>
      <c r="P7" s="234"/>
      <c r="Q7" s="234"/>
      <c r="R7" s="234"/>
      <c r="S7" s="234"/>
      <c r="T7" s="234"/>
      <c r="U7" s="234"/>
      <c r="V7" s="234"/>
      <c r="W7" s="21"/>
      <c r="X7" s="21"/>
      <c r="Y7" s="21"/>
      <c r="Z7" s="234"/>
      <c r="AA7" s="234"/>
      <c r="AB7" s="234"/>
      <c r="AC7" s="234"/>
      <c r="AD7" s="234"/>
      <c r="AE7" s="234"/>
      <c r="AF7" s="234"/>
      <c r="AG7" s="234"/>
      <c r="AH7" s="234"/>
      <c r="AI7" s="234"/>
      <c r="AJ7" s="23"/>
      <c r="AK7" s="234"/>
      <c r="AL7" s="262"/>
      <c r="AM7" s="262"/>
      <c r="AN7" s="262">
        <f aca="true" t="shared" si="1" ref="AN7:AS7">AN6/AM6-1</f>
        <v>35.877341846495995</v>
      </c>
      <c r="AO7" s="262">
        <f t="shared" si="1"/>
        <v>-0.4958221686357428</v>
      </c>
      <c r="AP7" s="262">
        <f t="shared" si="1"/>
        <v>-0.037767876144956025</v>
      </c>
      <c r="AQ7" s="262">
        <f t="shared" si="1"/>
        <v>-0.6563910074860213</v>
      </c>
      <c r="AR7" s="262">
        <f t="shared" si="1"/>
        <v>-0.9787188255955167</v>
      </c>
      <c r="AS7" s="262">
        <f t="shared" si="1"/>
        <v>61.406683089679355</v>
      </c>
    </row>
    <row r="8" spans="1:45" ht="12.75">
      <c r="A8" s="238" t="s">
        <v>152</v>
      </c>
      <c r="B8" s="21" t="s">
        <v>141</v>
      </c>
      <c r="C8" s="21" t="s">
        <v>141</v>
      </c>
      <c r="D8" s="21" t="s">
        <v>141</v>
      </c>
      <c r="E8" s="21" t="s">
        <v>141</v>
      </c>
      <c r="F8" s="21" t="s">
        <v>141</v>
      </c>
      <c r="G8" s="21" t="s">
        <v>141</v>
      </c>
      <c r="H8" s="21" t="s">
        <v>141</v>
      </c>
      <c r="I8" s="21">
        <v>82.90281200000001</v>
      </c>
      <c r="J8" s="23">
        <v>327.59816200000006</v>
      </c>
      <c r="K8" s="23">
        <v>628.491366</v>
      </c>
      <c r="L8" s="23">
        <v>934.4</v>
      </c>
      <c r="M8" s="23">
        <v>1086.230952</v>
      </c>
      <c r="N8" s="21">
        <v>334.65115399999803</v>
      </c>
      <c r="O8" s="21">
        <v>592.9968109999977</v>
      </c>
      <c r="P8" s="21">
        <v>972.5894279999977</v>
      </c>
      <c r="Q8" s="21">
        <v>1216.2385370000002</v>
      </c>
      <c r="R8" s="21">
        <v>236.59779100000011</v>
      </c>
      <c r="S8" s="21">
        <v>475</v>
      </c>
      <c r="T8" s="21">
        <v>842.2177270000001</v>
      </c>
      <c r="U8" s="21">
        <v>1157.8940239999997</v>
      </c>
      <c r="V8" s="21">
        <v>296.2447240000001</v>
      </c>
      <c r="W8" s="21">
        <v>662.2953229999999</v>
      </c>
      <c r="X8" s="21">
        <v>1018.9</v>
      </c>
      <c r="Y8" s="21">
        <v>1311.312682</v>
      </c>
      <c r="Z8" s="21">
        <v>325.62660999999997</v>
      </c>
      <c r="AA8" s="265">
        <v>712.7028639999996</v>
      </c>
      <c r="AB8" s="265">
        <v>1078.8491309999997</v>
      </c>
      <c r="AC8" s="265">
        <v>1412.3246399999973</v>
      </c>
      <c r="AD8" s="265">
        <v>359.4798199999992</v>
      </c>
      <c r="AE8" s="265">
        <v>749.5047669999987</v>
      </c>
      <c r="AF8" s="265">
        <v>1204.7763869999987</v>
      </c>
      <c r="AG8" s="265">
        <v>1676.897575</v>
      </c>
      <c r="AH8" s="265">
        <v>490.16377400000005</v>
      </c>
      <c r="AI8" s="265">
        <v>1058.0914280000002</v>
      </c>
      <c r="AJ8" s="23"/>
      <c r="AK8" s="21" t="s">
        <v>141</v>
      </c>
      <c r="AL8" s="21" t="s">
        <v>141</v>
      </c>
      <c r="AM8" s="21">
        <v>82.90281200000001</v>
      </c>
      <c r="AN8" s="21">
        <v>1086.230952</v>
      </c>
      <c r="AO8" s="21">
        <f>Q8</f>
        <v>1216.2385370000002</v>
      </c>
      <c r="AP8" s="21">
        <f>U8</f>
        <v>1157.8940239999997</v>
      </c>
      <c r="AQ8" s="21">
        <f>Y8</f>
        <v>1311.312682</v>
      </c>
      <c r="AR8" s="21">
        <f>AC8</f>
        <v>1412.3246399999973</v>
      </c>
      <c r="AS8" s="21">
        <f>AG8</f>
        <v>1676.897575</v>
      </c>
    </row>
    <row r="9" spans="1:45" s="237" customFormat="1" ht="12.75">
      <c r="A9" s="9" t="s">
        <v>137</v>
      </c>
      <c r="B9" s="233"/>
      <c r="C9" s="233"/>
      <c r="D9" s="233"/>
      <c r="E9" s="233"/>
      <c r="F9" s="233"/>
      <c r="G9" s="233"/>
      <c r="H9" s="234"/>
      <c r="I9" s="234"/>
      <c r="J9" s="240"/>
      <c r="K9" s="240"/>
      <c r="L9" s="241"/>
      <c r="M9" s="241"/>
      <c r="N9" s="234"/>
      <c r="O9" s="234"/>
      <c r="P9" s="234"/>
      <c r="W9" s="21"/>
      <c r="X9" s="21"/>
      <c r="Y9" s="21"/>
      <c r="AJ9" s="23"/>
      <c r="AK9" s="234"/>
      <c r="AL9" s="262"/>
      <c r="AM9" s="262"/>
      <c r="AN9" s="262">
        <f aca="true" t="shared" si="2" ref="AN9:AS9">AN8/AM8-1</f>
        <v>12.102462097425594</v>
      </c>
      <c r="AO9" s="262">
        <f t="shared" si="2"/>
        <v>0.11968687207874762</v>
      </c>
      <c r="AP9" s="262">
        <f t="shared" si="2"/>
        <v>-0.04797127473358498</v>
      </c>
      <c r="AQ9" s="262">
        <f t="shared" si="2"/>
        <v>0.13249801347968648</v>
      </c>
      <c r="AR9" s="262">
        <f t="shared" si="2"/>
        <v>0.07703117600139042</v>
      </c>
      <c r="AS9" s="262">
        <f t="shared" si="2"/>
        <v>0.18733152952709453</v>
      </c>
    </row>
    <row r="10" spans="1:45" ht="12.75">
      <c r="A10" s="238" t="s">
        <v>209</v>
      </c>
      <c r="B10" s="21" t="s">
        <v>141</v>
      </c>
      <c r="C10" s="21" t="s">
        <v>141</v>
      </c>
      <c r="D10" s="21" t="s">
        <v>141</v>
      </c>
      <c r="E10" s="21" t="s">
        <v>141</v>
      </c>
      <c r="F10" s="21" t="s">
        <v>141</v>
      </c>
      <c r="G10" s="21" t="s">
        <v>141</v>
      </c>
      <c r="H10" s="21" t="s">
        <v>141</v>
      </c>
      <c r="I10" s="21">
        <v>6.267648299999999</v>
      </c>
      <c r="J10" s="23">
        <v>27.28869708</v>
      </c>
      <c r="K10" s="23">
        <v>78.14171484</v>
      </c>
      <c r="L10" s="23">
        <v>113.05914057</v>
      </c>
      <c r="M10" s="23">
        <v>145.25843859</v>
      </c>
      <c r="N10" s="21">
        <v>35.87076236052634</v>
      </c>
      <c r="O10" s="21">
        <v>85.30859713052638</v>
      </c>
      <c r="P10" s="21">
        <v>143.3265648955263</v>
      </c>
      <c r="Q10" s="265">
        <v>187.90313547552586</v>
      </c>
      <c r="R10" s="265">
        <v>48.041428849999996</v>
      </c>
      <c r="S10" s="265">
        <v>105</v>
      </c>
      <c r="T10" s="265">
        <v>166.9672672</v>
      </c>
      <c r="U10" s="265">
        <v>219.30218594000002</v>
      </c>
      <c r="V10" s="21">
        <v>51.65454466</v>
      </c>
      <c r="W10" s="21">
        <v>122.82899201000001</v>
      </c>
      <c r="X10" s="21">
        <v>193.04834371000004</v>
      </c>
      <c r="Y10" s="21">
        <v>239.41570975000008</v>
      </c>
      <c r="Z10" s="265">
        <v>62.585696000000006</v>
      </c>
      <c r="AA10" s="21">
        <v>139.385361</v>
      </c>
      <c r="AB10" s="21">
        <v>217.77134099999998</v>
      </c>
      <c r="AC10" s="21">
        <v>284.8998829999991</v>
      </c>
      <c r="AD10" s="21">
        <v>70.51839799999978</v>
      </c>
      <c r="AE10" s="21">
        <v>148.51465799999966</v>
      </c>
      <c r="AF10" s="21">
        <v>228.56983299999962</v>
      </c>
      <c r="AG10" s="21">
        <v>305.34252999999967</v>
      </c>
      <c r="AH10" s="21">
        <v>77.36015999999992</v>
      </c>
      <c r="AI10" s="21">
        <v>164.31469999999985</v>
      </c>
      <c r="AJ10" s="23"/>
      <c r="AK10" s="21" t="s">
        <v>141</v>
      </c>
      <c r="AL10" s="21" t="s">
        <v>141</v>
      </c>
      <c r="AM10" s="21">
        <v>6.267648299999999</v>
      </c>
      <c r="AN10" s="21">
        <v>145.25843859</v>
      </c>
      <c r="AO10" s="21">
        <f>Q10</f>
        <v>187.90313547552586</v>
      </c>
      <c r="AP10" s="21">
        <f>U10</f>
        <v>219.30218594000002</v>
      </c>
      <c r="AQ10" s="21">
        <f>Y10</f>
        <v>239.41570975000008</v>
      </c>
      <c r="AR10" s="21">
        <f>AC10</f>
        <v>284.8998829999991</v>
      </c>
      <c r="AS10" s="21">
        <f>AG10</f>
        <v>305.34252999999967</v>
      </c>
    </row>
    <row r="11" spans="1:45" s="237" customFormat="1" ht="12.75">
      <c r="A11" s="9" t="s">
        <v>137</v>
      </c>
      <c r="B11" s="233"/>
      <c r="C11" s="233"/>
      <c r="D11" s="233"/>
      <c r="E11" s="233"/>
      <c r="F11" s="233"/>
      <c r="G11" s="233"/>
      <c r="H11" s="234"/>
      <c r="I11" s="234"/>
      <c r="J11" s="235"/>
      <c r="K11" s="235"/>
      <c r="L11" s="263"/>
      <c r="M11" s="263"/>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5"/>
      <c r="AK11" s="234"/>
      <c r="AL11" s="262"/>
      <c r="AM11" s="262"/>
      <c r="AN11" s="262">
        <f aca="true" t="shared" si="3" ref="AN11:AS11">AN10/AM10-1</f>
        <v>22.175907714860134</v>
      </c>
      <c r="AO11" s="262">
        <f t="shared" si="3"/>
        <v>0.2935781032721472</v>
      </c>
      <c r="AP11" s="262">
        <f t="shared" si="3"/>
        <v>0.16710232314651208</v>
      </c>
      <c r="AQ11" s="262">
        <f t="shared" si="3"/>
        <v>0.0917160206305605</v>
      </c>
      <c r="AR11" s="262">
        <f t="shared" si="3"/>
        <v>0.18997990272858023</v>
      </c>
      <c r="AS11" s="262">
        <f t="shared" si="3"/>
        <v>0.07175379219092437</v>
      </c>
    </row>
    <row r="12" spans="1:45" ht="12.75">
      <c r="A12" s="18"/>
      <c r="B12" s="19"/>
      <c r="C12" s="19"/>
      <c r="D12" s="19"/>
      <c r="E12" s="19"/>
      <c r="F12" s="19"/>
      <c r="G12" s="19"/>
      <c r="H12" s="19"/>
      <c r="I12" s="19"/>
      <c r="J12" s="44"/>
      <c r="K12" s="44"/>
      <c r="L12" s="44"/>
      <c r="M12" s="44"/>
      <c r="N12" s="19"/>
      <c r="O12" s="19"/>
      <c r="P12" s="19"/>
      <c r="Q12" s="19"/>
      <c r="R12" s="19"/>
      <c r="S12" s="19"/>
      <c r="T12" s="19"/>
      <c r="U12" s="19"/>
      <c r="V12" s="19"/>
      <c r="W12" s="19"/>
      <c r="X12" s="19"/>
      <c r="Y12" s="19"/>
      <c r="Z12" s="19"/>
      <c r="AA12" s="19"/>
      <c r="AB12" s="19"/>
      <c r="AC12" s="19"/>
      <c r="AD12" s="19"/>
      <c r="AE12" s="19"/>
      <c r="AF12" s="19"/>
      <c r="AG12" s="19"/>
      <c r="AH12" s="19"/>
      <c r="AI12" s="19"/>
      <c r="AJ12" s="44"/>
      <c r="AK12" s="19"/>
      <c r="AL12" s="19"/>
      <c r="AM12" s="19"/>
      <c r="AN12" s="19"/>
      <c r="AO12" s="19"/>
      <c r="AP12" s="19"/>
      <c r="AQ12" s="19"/>
      <c r="AR12" s="19"/>
      <c r="AS12" s="19"/>
    </row>
    <row r="13" spans="1:45" ht="12.75">
      <c r="A13" s="20" t="s">
        <v>189</v>
      </c>
      <c r="B13" s="3" t="s">
        <v>6</v>
      </c>
      <c r="C13" s="4" t="s">
        <v>20</v>
      </c>
      <c r="D13" s="4" t="s">
        <v>21</v>
      </c>
      <c r="E13" s="4" t="s">
        <v>22</v>
      </c>
      <c r="F13" s="3" t="s">
        <v>0</v>
      </c>
      <c r="G13" s="3" t="s">
        <v>19</v>
      </c>
      <c r="H13" s="4" t="s">
        <v>18</v>
      </c>
      <c r="I13" s="4" t="s">
        <v>136</v>
      </c>
      <c r="J13" s="5" t="s">
        <v>160</v>
      </c>
      <c r="K13" s="3" t="s">
        <v>163</v>
      </c>
      <c r="L13" s="3" t="s">
        <v>164</v>
      </c>
      <c r="M13" s="3" t="s">
        <v>165</v>
      </c>
      <c r="N13" s="4" t="s">
        <v>172</v>
      </c>
      <c r="O13" s="4" t="s">
        <v>181</v>
      </c>
      <c r="P13" s="4" t="s">
        <v>183</v>
      </c>
      <c r="Q13" s="4" t="s">
        <v>185</v>
      </c>
      <c r="R13" s="4" t="s">
        <v>187</v>
      </c>
      <c r="S13" s="4" t="s">
        <v>202</v>
      </c>
      <c r="T13" s="4" t="s">
        <v>205</v>
      </c>
      <c r="U13" s="4" t="s">
        <v>206</v>
      </c>
      <c r="V13" s="4" t="s">
        <v>210</v>
      </c>
      <c r="W13" s="4" t="s">
        <v>211</v>
      </c>
      <c r="X13" s="4" t="s">
        <v>213</v>
      </c>
      <c r="Y13" s="4" t="s">
        <v>218</v>
      </c>
      <c r="Z13" s="4" t="s">
        <v>225</v>
      </c>
      <c r="AA13" s="4" t="s">
        <v>231</v>
      </c>
      <c r="AB13" s="4" t="s">
        <v>241</v>
      </c>
      <c r="AC13" s="4" t="s">
        <v>244</v>
      </c>
      <c r="AD13" s="4" t="s">
        <v>245</v>
      </c>
      <c r="AE13" s="4" t="s">
        <v>247</v>
      </c>
      <c r="AF13" s="4" t="s">
        <v>252</v>
      </c>
      <c r="AG13" s="4" t="s">
        <v>259</v>
      </c>
      <c r="AH13" s="4" t="s">
        <v>266</v>
      </c>
      <c r="AI13" s="4" t="s">
        <v>269</v>
      </c>
      <c r="AJ13" s="6"/>
      <c r="AK13" s="4">
        <v>2005</v>
      </c>
      <c r="AL13" s="4">
        <v>2006</v>
      </c>
      <c r="AM13" s="4">
        <v>2007</v>
      </c>
      <c r="AN13" s="4">
        <v>2008</v>
      </c>
      <c r="AO13" s="4">
        <v>2009</v>
      </c>
      <c r="AP13" s="4">
        <v>2010</v>
      </c>
      <c r="AQ13" s="4">
        <v>2011</v>
      </c>
      <c r="AR13" s="4">
        <v>2012</v>
      </c>
      <c r="AS13" s="4">
        <v>2013</v>
      </c>
    </row>
    <row r="14" spans="1:45" s="48" customFormat="1" ht="12.75">
      <c r="A14" s="216" t="s">
        <v>16</v>
      </c>
      <c r="B14" s="21" t="s">
        <v>141</v>
      </c>
      <c r="C14" s="21" t="s">
        <v>141</v>
      </c>
      <c r="D14" s="21" t="s">
        <v>141</v>
      </c>
      <c r="E14" s="21" t="s">
        <v>141</v>
      </c>
      <c r="F14" s="21" t="s">
        <v>141</v>
      </c>
      <c r="G14" s="21" t="s">
        <v>141</v>
      </c>
      <c r="H14" s="21" t="s">
        <v>141</v>
      </c>
      <c r="I14" s="21">
        <v>569.9336935942797</v>
      </c>
      <c r="J14" s="23">
        <v>615.7806351346901</v>
      </c>
      <c r="K14" s="23">
        <v>806.0145799962369</v>
      </c>
      <c r="L14" s="23">
        <v>894.8369063947968</v>
      </c>
      <c r="M14" s="23">
        <v>801.4921069501105</v>
      </c>
      <c r="N14" s="21">
        <v>381.60630421564156</v>
      </c>
      <c r="O14" s="21">
        <v>383.21909496591593</v>
      </c>
      <c r="P14" s="21">
        <v>403.8907388144992</v>
      </c>
      <c r="Q14" s="21">
        <v>420.2734594345436</v>
      </c>
      <c r="R14" s="21">
        <v>493.6174328484473</v>
      </c>
      <c r="S14" s="21">
        <v>565.2474121501804</v>
      </c>
      <c r="T14" s="21">
        <v>583.402914049165</v>
      </c>
      <c r="U14" s="21">
        <v>598.498710818724</v>
      </c>
      <c r="V14" s="21">
        <v>695.2680581236431</v>
      </c>
      <c r="W14" s="21">
        <v>719.427659133719</v>
      </c>
      <c r="X14" s="21">
        <v>721.7161444472158</v>
      </c>
      <c r="Y14" s="21">
        <v>719.6146926951986</v>
      </c>
      <c r="Z14" s="21">
        <v>686.4890033981466</v>
      </c>
      <c r="AA14" s="21">
        <v>679.5716584521288</v>
      </c>
      <c r="AB14" s="21">
        <v>679.4490442647513</v>
      </c>
      <c r="AC14" s="21">
        <v>675.4247835902139</v>
      </c>
      <c r="AD14" s="21">
        <v>645.3672755445609</v>
      </c>
      <c r="AE14" s="21">
        <v>641.4271104477986</v>
      </c>
      <c r="AF14" s="21">
        <v>626.3347880048823</v>
      </c>
      <c r="AG14" s="21">
        <v>608.983244983632</v>
      </c>
      <c r="AH14" s="21">
        <v>513.1414891972622</v>
      </c>
      <c r="AI14" s="21">
        <v>545.5728545589674</v>
      </c>
      <c r="AJ14" s="23"/>
      <c r="AK14" s="21" t="s">
        <v>141</v>
      </c>
      <c r="AL14" s="21" t="s">
        <v>141</v>
      </c>
      <c r="AM14" s="23">
        <v>569.9336935942797</v>
      </c>
      <c r="AN14" s="23">
        <v>801.4921069501105</v>
      </c>
      <c r="AO14" s="23">
        <f>Q14</f>
        <v>420.2734594345436</v>
      </c>
      <c r="AP14" s="23">
        <f>U14</f>
        <v>598.498710818724</v>
      </c>
      <c r="AQ14" s="23">
        <f>Y14</f>
        <v>719.6146926951986</v>
      </c>
      <c r="AR14" s="23">
        <f>AC14</f>
        <v>675.4247835902139</v>
      </c>
      <c r="AS14" s="23">
        <f>AG14</f>
        <v>608.983244983632</v>
      </c>
    </row>
    <row r="15" spans="1:45" s="232" customFormat="1" ht="12.75">
      <c r="A15" s="264" t="s">
        <v>137</v>
      </c>
      <c r="B15" s="265"/>
      <c r="C15" s="265"/>
      <c r="D15" s="265"/>
      <c r="E15" s="265"/>
      <c r="F15" s="265"/>
      <c r="G15" s="265"/>
      <c r="H15" s="265"/>
      <c r="I15" s="265"/>
      <c r="J15" s="266"/>
      <c r="K15" s="266"/>
      <c r="L15" s="266"/>
      <c r="M15" s="213"/>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40"/>
      <c r="AK15" s="265"/>
      <c r="AL15" s="265"/>
      <c r="AM15" s="265"/>
      <c r="AN15" s="262">
        <f aca="true" t="shared" si="4" ref="AN15:AS15">AN14/AM14-1</f>
        <v>0.4062900929676758</v>
      </c>
      <c r="AO15" s="262">
        <f t="shared" si="4"/>
        <v>-0.4756361843240162</v>
      </c>
      <c r="AP15" s="262">
        <f t="shared" si="4"/>
        <v>0.4240697274197931</v>
      </c>
      <c r="AQ15" s="262">
        <f t="shared" si="4"/>
        <v>0.20236632040659286</v>
      </c>
      <c r="AR15" s="262">
        <f t="shared" si="4"/>
        <v>-0.061407736047576655</v>
      </c>
      <c r="AS15" s="262">
        <f t="shared" si="4"/>
        <v>-0.09837000391577666</v>
      </c>
    </row>
    <row r="16" spans="1:45" s="48" customFormat="1" ht="12.75">
      <c r="A16" s="238" t="s">
        <v>151</v>
      </c>
      <c r="B16" s="21" t="s">
        <v>141</v>
      </c>
      <c r="C16" s="21" t="s">
        <v>141</v>
      </c>
      <c r="D16" s="21" t="s">
        <v>141</v>
      </c>
      <c r="E16" s="21" t="s">
        <v>141</v>
      </c>
      <c r="F16" s="21" t="s">
        <v>141</v>
      </c>
      <c r="G16" s="21" t="s">
        <v>141</v>
      </c>
      <c r="H16" s="21" t="s">
        <v>141</v>
      </c>
      <c r="I16" s="23">
        <v>510.89767746110306</v>
      </c>
      <c r="J16" s="23">
        <v>534.0052288884605</v>
      </c>
      <c r="K16" s="23">
        <v>763.5295808971823</v>
      </c>
      <c r="L16" s="23">
        <v>815.6136305141903</v>
      </c>
      <c r="M16" s="23">
        <v>746.6731100075372</v>
      </c>
      <c r="N16" s="23">
        <v>373.63041334636506</v>
      </c>
      <c r="O16" s="23">
        <v>315.1843471185173</v>
      </c>
      <c r="P16" s="23">
        <v>333.91752229489117</v>
      </c>
      <c r="Q16" s="23">
        <v>357.021392959471</v>
      </c>
      <c r="R16" s="23">
        <v>380.40575372735066</v>
      </c>
      <c r="S16" s="23">
        <v>487.10587266510026</v>
      </c>
      <c r="T16" s="23">
        <v>491.6340603659073</v>
      </c>
      <c r="U16" s="23">
        <v>512.1600617129343</v>
      </c>
      <c r="V16" s="23">
        <v>575.1827385227069</v>
      </c>
      <c r="W16" s="21">
        <v>616.2689129999868</v>
      </c>
      <c r="X16" s="21">
        <v>588.4593839823324</v>
      </c>
      <c r="Y16" s="21">
        <v>578.6332819127914</v>
      </c>
      <c r="Z16" s="23">
        <v>0</v>
      </c>
      <c r="AA16" s="23">
        <v>538.5264372933863</v>
      </c>
      <c r="AB16" s="23">
        <v>534.664017878751</v>
      </c>
      <c r="AC16" s="23">
        <v>530.7076317927758</v>
      </c>
      <c r="AD16" s="23">
        <v>0</v>
      </c>
      <c r="AE16" s="23">
        <v>472.21219078081873</v>
      </c>
      <c r="AF16" s="23">
        <v>477.1770415244225</v>
      </c>
      <c r="AG16" s="23">
        <v>474.73551200898083</v>
      </c>
      <c r="AH16" s="23">
        <v>445.3606909645858</v>
      </c>
      <c r="AI16" s="23">
        <v>457.45231443101386</v>
      </c>
      <c r="AJ16" s="23"/>
      <c r="AK16" s="21" t="s">
        <v>141</v>
      </c>
      <c r="AL16" s="21" t="s">
        <v>141</v>
      </c>
      <c r="AM16" s="23">
        <v>510.89767746110306</v>
      </c>
      <c r="AN16" s="23">
        <v>746.6731100075372</v>
      </c>
      <c r="AO16" s="23">
        <f>Q16</f>
        <v>357.021392959471</v>
      </c>
      <c r="AP16" s="23">
        <f>U16</f>
        <v>512.1600617129343</v>
      </c>
      <c r="AQ16" s="23">
        <f>Y16</f>
        <v>578.6332819127914</v>
      </c>
      <c r="AR16" s="23">
        <f>AC16</f>
        <v>530.7076317927758</v>
      </c>
      <c r="AS16" s="23">
        <f>AG16</f>
        <v>474.73551200898083</v>
      </c>
    </row>
    <row r="17" spans="1:45" s="232" customFormat="1" ht="12.75">
      <c r="A17" s="9" t="s">
        <v>137</v>
      </c>
      <c r="B17" s="265"/>
      <c r="C17" s="265"/>
      <c r="D17" s="265"/>
      <c r="E17" s="265"/>
      <c r="F17" s="265"/>
      <c r="G17" s="265"/>
      <c r="H17" s="265"/>
      <c r="I17" s="265"/>
      <c r="J17" s="213"/>
      <c r="K17" s="213"/>
      <c r="L17" s="213"/>
      <c r="M17" s="213"/>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40"/>
      <c r="AK17" s="265"/>
      <c r="AL17" s="265"/>
      <c r="AM17" s="265"/>
      <c r="AN17" s="262">
        <f aca="true" t="shared" si="5" ref="AN17:AS17">AN16/AM16-1</f>
        <v>0.46149247285310824</v>
      </c>
      <c r="AO17" s="262">
        <f t="shared" si="5"/>
        <v>-0.521850474894071</v>
      </c>
      <c r="AP17" s="262">
        <f t="shared" si="5"/>
        <v>0.434536058098554</v>
      </c>
      <c r="AQ17" s="262">
        <f t="shared" si="5"/>
        <v>0.12978993320473964</v>
      </c>
      <c r="AR17" s="262">
        <f t="shared" si="5"/>
        <v>-0.08282560236007763</v>
      </c>
      <c r="AS17" s="262">
        <f t="shared" si="5"/>
        <v>-0.10546695851106636</v>
      </c>
    </row>
    <row r="18" spans="1:45" s="48" customFormat="1" ht="12.75">
      <c r="A18" s="238" t="s">
        <v>152</v>
      </c>
      <c r="B18" s="21" t="s">
        <v>141</v>
      </c>
      <c r="C18" s="21" t="s">
        <v>141</v>
      </c>
      <c r="D18" s="21" t="s">
        <v>141</v>
      </c>
      <c r="E18" s="21" t="s">
        <v>141</v>
      </c>
      <c r="F18" s="21" t="s">
        <v>141</v>
      </c>
      <c r="G18" s="21" t="s">
        <v>141</v>
      </c>
      <c r="H18" s="21" t="s">
        <v>141</v>
      </c>
      <c r="I18" s="23">
        <v>575.636566643121</v>
      </c>
      <c r="J18" s="23">
        <v>626.5434720301316</v>
      </c>
      <c r="K18" s="23">
        <v>793.4509536506656</v>
      </c>
      <c r="L18" s="23">
        <v>901.5041912779138</v>
      </c>
      <c r="M18" s="23">
        <v>796.7541740369568</v>
      </c>
      <c r="N18" s="23">
        <v>364.61946608192596</v>
      </c>
      <c r="O18" s="23">
        <v>376.5663438006295</v>
      </c>
      <c r="P18" s="23">
        <v>398.2959736878405</v>
      </c>
      <c r="Q18" s="23">
        <v>413.81444803285376</v>
      </c>
      <c r="R18" s="23">
        <v>487.1454595747782</v>
      </c>
      <c r="S18" s="23">
        <v>549.5685259223733</v>
      </c>
      <c r="T18" s="23">
        <v>575.3762711463321</v>
      </c>
      <c r="U18" s="23">
        <v>598.169727370899</v>
      </c>
      <c r="V18" s="23">
        <v>694.7155437535304</v>
      </c>
      <c r="W18" s="265">
        <v>699.3787379455206</v>
      </c>
      <c r="X18" s="265">
        <v>714.5692744852207</v>
      </c>
      <c r="Y18" s="265">
        <v>713.1889580517436</v>
      </c>
      <c r="Z18" s="23">
        <v>675.4117445921449</v>
      </c>
      <c r="AA18" s="265">
        <v>668.2092964907232</v>
      </c>
      <c r="AB18" s="265">
        <v>665.3463440983437</v>
      </c>
      <c r="AC18" s="265">
        <v>660.2058525363624</v>
      </c>
      <c r="AD18" s="265">
        <v>623.3936564658073</v>
      </c>
      <c r="AE18" s="265">
        <v>619.3676027137004</v>
      </c>
      <c r="AF18" s="265">
        <v>612.6583644576847</v>
      </c>
      <c r="AG18" s="265">
        <v>601.3157463372968</v>
      </c>
      <c r="AH18" s="265">
        <v>512.7870633988299</v>
      </c>
      <c r="AI18" s="265">
        <v>547.6667624147505</v>
      </c>
      <c r="AJ18" s="23"/>
      <c r="AK18" s="21" t="s">
        <v>141</v>
      </c>
      <c r="AL18" s="21" t="s">
        <v>141</v>
      </c>
      <c r="AM18" s="23">
        <v>575.636566643121</v>
      </c>
      <c r="AN18" s="23">
        <v>796.7541740369568</v>
      </c>
      <c r="AO18" s="23">
        <f>Q18</f>
        <v>413.81444803285376</v>
      </c>
      <c r="AP18" s="23">
        <f>U18</f>
        <v>598.169727370899</v>
      </c>
      <c r="AQ18" s="23">
        <f>Y18</f>
        <v>713.1889580517436</v>
      </c>
      <c r="AR18" s="23">
        <f>AC18</f>
        <v>660.2058525363624</v>
      </c>
      <c r="AS18" s="23">
        <f>AG18</f>
        <v>601.3157463372968</v>
      </c>
    </row>
    <row r="19" spans="1:45" s="232" customFormat="1" ht="12.75">
      <c r="A19" s="9" t="s">
        <v>137</v>
      </c>
      <c r="B19" s="265"/>
      <c r="C19" s="265"/>
      <c r="D19" s="265"/>
      <c r="E19" s="265"/>
      <c r="F19" s="265"/>
      <c r="G19" s="265"/>
      <c r="H19" s="265"/>
      <c r="I19" s="265"/>
      <c r="J19" s="213"/>
      <c r="K19" s="213"/>
      <c r="L19" s="213"/>
      <c r="M19" s="213"/>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40"/>
      <c r="AK19" s="265"/>
      <c r="AL19" s="265"/>
      <c r="AM19" s="265"/>
      <c r="AN19" s="262">
        <f aca="true" t="shared" si="6" ref="AN19:AS19">AN18/AM18-1</f>
        <v>0.38412710416105766</v>
      </c>
      <c r="AO19" s="262">
        <f t="shared" si="6"/>
        <v>-0.48062468761706256</v>
      </c>
      <c r="AP19" s="262">
        <f t="shared" si="6"/>
        <v>0.4455022781693905</v>
      </c>
      <c r="AQ19" s="262">
        <f t="shared" si="6"/>
        <v>0.19228527526189287</v>
      </c>
      <c r="AR19" s="262">
        <f t="shared" si="6"/>
        <v>-0.07429041759159871</v>
      </c>
      <c r="AS19" s="262">
        <f t="shared" si="6"/>
        <v>-0.08919961247362929</v>
      </c>
    </row>
    <row r="20" spans="1:45" s="48" customFormat="1" ht="12.75">
      <c r="A20" s="238" t="s">
        <v>153</v>
      </c>
      <c r="B20" s="21" t="s">
        <v>141</v>
      </c>
      <c r="C20" s="21" t="s">
        <v>141</v>
      </c>
      <c r="D20" s="21" t="s">
        <v>141</v>
      </c>
      <c r="E20" s="21" t="s">
        <v>141</v>
      </c>
      <c r="F20" s="21" t="s">
        <v>141</v>
      </c>
      <c r="G20" s="21" t="s">
        <v>141</v>
      </c>
      <c r="H20" s="21" t="s">
        <v>141</v>
      </c>
      <c r="I20" s="23">
        <v>632.74518099646</v>
      </c>
      <c r="J20" s="23">
        <v>850.160651667041</v>
      </c>
      <c r="K20" s="23">
        <v>1066.5981801635317</v>
      </c>
      <c r="L20" s="23">
        <v>1165.0600395968536</v>
      </c>
      <c r="M20" s="23">
        <v>1044.4195178152115</v>
      </c>
      <c r="N20" s="23">
        <v>505.015498973974</v>
      </c>
      <c r="O20" s="23">
        <v>506.4568889748773</v>
      </c>
      <c r="P20" s="23">
        <v>523.4913898450134</v>
      </c>
      <c r="Q20" s="23">
        <v>539.2858254279569</v>
      </c>
      <c r="R20" s="23">
        <v>584.9915927172092</v>
      </c>
      <c r="S20" s="23">
        <v>692.2590301863313</v>
      </c>
      <c r="T20" s="23">
        <v>715.5156669153857</v>
      </c>
      <c r="U20" s="23">
        <v>695.7079014894628</v>
      </c>
      <c r="V20" s="23">
        <v>819.0141389766094</v>
      </c>
      <c r="W20" s="23">
        <v>829.5069545196448</v>
      </c>
      <c r="X20" s="23">
        <v>821.9836047779236</v>
      </c>
      <c r="Y20" s="23">
        <v>807.9382049950158</v>
      </c>
      <c r="Z20" s="23">
        <v>744.1227833770562</v>
      </c>
      <c r="AA20" s="23">
        <v>739.5977673936122</v>
      </c>
      <c r="AB20" s="23">
        <v>751.1554010467046</v>
      </c>
      <c r="AC20" s="23">
        <v>752.3175796040265</v>
      </c>
      <c r="AD20" s="23">
        <v>757.3816271918989</v>
      </c>
      <c r="AE20" s="23">
        <v>754.001184374636</v>
      </c>
      <c r="AF20" s="23">
        <v>721.6222558863891</v>
      </c>
      <c r="AG20" s="23">
        <v>703.8900688704706</v>
      </c>
      <c r="AH20" s="23">
        <v>590.8799078108527</v>
      </c>
      <c r="AI20" s="23">
        <v>623.2586523065758</v>
      </c>
      <c r="AJ20" s="242"/>
      <c r="AK20" s="21" t="s">
        <v>141</v>
      </c>
      <c r="AL20" s="21" t="s">
        <v>141</v>
      </c>
      <c r="AM20" s="23">
        <v>632.74518099646</v>
      </c>
      <c r="AN20" s="23">
        <v>1044.4195178152115</v>
      </c>
      <c r="AO20" s="23">
        <f>Q20</f>
        <v>539.2858254279569</v>
      </c>
      <c r="AP20" s="23">
        <f>U20</f>
        <v>695.7079014894628</v>
      </c>
      <c r="AQ20" s="23">
        <f>Y20</f>
        <v>807.9382049950158</v>
      </c>
      <c r="AR20" s="23">
        <f>AC20</f>
        <v>752.3175796040265</v>
      </c>
      <c r="AS20" s="23">
        <f>AG20</f>
        <v>703.8900688704706</v>
      </c>
    </row>
    <row r="21" spans="1:45" s="232" customFormat="1" ht="12.75">
      <c r="A21" s="264" t="s">
        <v>137</v>
      </c>
      <c r="B21" s="265"/>
      <c r="C21" s="265"/>
      <c r="D21" s="265"/>
      <c r="E21" s="265"/>
      <c r="F21" s="265"/>
      <c r="G21" s="265"/>
      <c r="H21" s="265"/>
      <c r="I21" s="265"/>
      <c r="J21" s="266"/>
      <c r="K21" s="266"/>
      <c r="L21" s="266"/>
      <c r="M21" s="266"/>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35"/>
      <c r="AK21" s="265"/>
      <c r="AL21" s="265"/>
      <c r="AM21" s="265"/>
      <c r="AN21" s="262">
        <f aca="true" t="shared" si="7" ref="AN21:AS21">AN20/AM20-1</f>
        <v>0.6506163131427383</v>
      </c>
      <c r="AO21" s="262">
        <f t="shared" si="7"/>
        <v>-0.48365018440475716</v>
      </c>
      <c r="AP21" s="262">
        <f t="shared" si="7"/>
        <v>0.2900541209985914</v>
      </c>
      <c r="AQ21" s="262">
        <f t="shared" si="7"/>
        <v>0.16131813835271336</v>
      </c>
      <c r="AR21" s="262">
        <f t="shared" si="7"/>
        <v>-0.06884267267857747</v>
      </c>
      <c r="AS21" s="262">
        <f t="shared" si="7"/>
        <v>-0.06437110077773955</v>
      </c>
    </row>
    <row r="22" spans="1:45" ht="12.75">
      <c r="A22" s="18"/>
      <c r="B22" s="27"/>
      <c r="C22" s="27"/>
      <c r="D22" s="27"/>
      <c r="E22" s="27"/>
      <c r="F22" s="27"/>
      <c r="G22" s="27"/>
      <c r="H22" s="28"/>
      <c r="I22" s="28"/>
      <c r="J22" s="26"/>
      <c r="K22" s="26"/>
      <c r="L22" s="44"/>
      <c r="M22" s="44"/>
      <c r="N22" s="28"/>
      <c r="O22" s="28"/>
      <c r="P22" s="28"/>
      <c r="Q22" s="28"/>
      <c r="R22" s="28"/>
      <c r="S22" s="28"/>
      <c r="T22" s="28"/>
      <c r="U22" s="28"/>
      <c r="V22" s="28"/>
      <c r="W22" s="28"/>
      <c r="X22" s="28"/>
      <c r="Y22" s="28"/>
      <c r="Z22" s="28"/>
      <c r="AA22" s="28"/>
      <c r="AB22" s="28"/>
      <c r="AC22" s="28"/>
      <c r="AD22" s="28"/>
      <c r="AE22" s="28"/>
      <c r="AF22" s="28"/>
      <c r="AG22" s="28"/>
      <c r="AH22" s="28"/>
      <c r="AI22" s="28"/>
      <c r="AJ22" s="26"/>
      <c r="AK22" s="19"/>
      <c r="AL22" s="19"/>
      <c r="AM22" s="19"/>
      <c r="AN22" s="19"/>
      <c r="AO22" s="19"/>
      <c r="AP22" s="19"/>
      <c r="AQ22" s="19"/>
      <c r="AR22" s="19"/>
      <c r="AS22" s="19"/>
    </row>
    <row r="23" spans="1:45" ht="12.75">
      <c r="A23" s="2" t="s">
        <v>1</v>
      </c>
      <c r="B23" s="3" t="s">
        <v>6</v>
      </c>
      <c r="C23" s="4" t="s">
        <v>20</v>
      </c>
      <c r="D23" s="4" t="s">
        <v>21</v>
      </c>
      <c r="E23" s="4" t="s">
        <v>22</v>
      </c>
      <c r="F23" s="3" t="s">
        <v>0</v>
      </c>
      <c r="G23" s="3" t="s">
        <v>19</v>
      </c>
      <c r="H23" s="4" t="s">
        <v>18</v>
      </c>
      <c r="I23" s="4" t="s">
        <v>136</v>
      </c>
      <c r="J23" s="5" t="s">
        <v>160</v>
      </c>
      <c r="K23" s="3" t="s">
        <v>163</v>
      </c>
      <c r="L23" s="3" t="s">
        <v>164</v>
      </c>
      <c r="M23" s="3" t="s">
        <v>165</v>
      </c>
      <c r="N23" s="4" t="s">
        <v>172</v>
      </c>
      <c r="O23" s="4" t="s">
        <v>181</v>
      </c>
      <c r="P23" s="4" t="s">
        <v>183</v>
      </c>
      <c r="Q23" s="4" t="s">
        <v>185</v>
      </c>
      <c r="R23" s="4" t="s">
        <v>187</v>
      </c>
      <c r="S23" s="4" t="s">
        <v>202</v>
      </c>
      <c r="T23" s="4" t="s">
        <v>205</v>
      </c>
      <c r="U23" s="4" t="s">
        <v>206</v>
      </c>
      <c r="V23" s="4" t="s">
        <v>210</v>
      </c>
      <c r="W23" s="4" t="s">
        <v>211</v>
      </c>
      <c r="X23" s="4" t="s">
        <v>213</v>
      </c>
      <c r="Y23" s="4" t="s">
        <v>218</v>
      </c>
      <c r="Z23" s="4" t="s">
        <v>225</v>
      </c>
      <c r="AA23" s="4" t="s">
        <v>231</v>
      </c>
      <c r="AB23" s="4" t="s">
        <v>241</v>
      </c>
      <c r="AC23" s="4" t="s">
        <v>244</v>
      </c>
      <c r="AD23" s="4" t="s">
        <v>245</v>
      </c>
      <c r="AE23" s="4" t="s">
        <v>247</v>
      </c>
      <c r="AF23" s="4" t="s">
        <v>252</v>
      </c>
      <c r="AG23" s="4" t="s">
        <v>259</v>
      </c>
      <c r="AH23" s="4" t="s">
        <v>266</v>
      </c>
      <c r="AI23" s="4" t="s">
        <v>269</v>
      </c>
      <c r="AJ23" s="6"/>
      <c r="AK23" s="4">
        <v>2005</v>
      </c>
      <c r="AL23" s="4">
        <v>2006</v>
      </c>
      <c r="AM23" s="4">
        <v>2007</v>
      </c>
      <c r="AN23" s="4">
        <v>2008</v>
      </c>
      <c r="AO23" s="4">
        <v>2009</v>
      </c>
      <c r="AP23" s="4">
        <v>2010</v>
      </c>
      <c r="AQ23" s="4">
        <v>2011</v>
      </c>
      <c r="AR23" s="4">
        <v>2012</v>
      </c>
      <c r="AS23" s="4">
        <v>2013</v>
      </c>
    </row>
    <row r="24" spans="1:45" ht="12.75">
      <c r="A24" s="7" t="s">
        <v>26</v>
      </c>
      <c r="B24" s="21" t="s">
        <v>141</v>
      </c>
      <c r="C24" s="21" t="s">
        <v>141</v>
      </c>
      <c r="D24" s="21" t="s">
        <v>141</v>
      </c>
      <c r="E24" s="21" t="s">
        <v>141</v>
      </c>
      <c r="F24" s="21" t="s">
        <v>141</v>
      </c>
      <c r="G24" s="21" t="s">
        <v>141</v>
      </c>
      <c r="H24" s="21" t="s">
        <v>141</v>
      </c>
      <c r="I24" s="21">
        <v>62.262</v>
      </c>
      <c r="J24" s="23">
        <v>348.46</v>
      </c>
      <c r="K24" s="23">
        <v>756.828</v>
      </c>
      <c r="L24" s="23">
        <v>1119.899</v>
      </c>
      <c r="M24" s="23">
        <v>1178.185</v>
      </c>
      <c r="N24" s="21">
        <v>102.466</v>
      </c>
      <c r="O24" s="21">
        <v>232.54</v>
      </c>
      <c r="P24" s="21">
        <v>414.263</v>
      </c>
      <c r="Q24" s="21">
        <v>572.476</v>
      </c>
      <c r="R24" s="21">
        <v>162.027</v>
      </c>
      <c r="S24" s="21">
        <v>370.566</v>
      </c>
      <c r="T24" s="21">
        <v>629.061</v>
      </c>
      <c r="U24" s="21">
        <v>864.786</v>
      </c>
      <c r="V24" s="21">
        <v>259.59</v>
      </c>
      <c r="W24" s="21">
        <v>595.783</v>
      </c>
      <c r="X24" s="21">
        <v>894.807</v>
      </c>
      <c r="Y24" s="21">
        <v>1154.202</v>
      </c>
      <c r="Z24" s="21">
        <v>275.043</v>
      </c>
      <c r="AA24" s="21">
        <v>604.479</v>
      </c>
      <c r="AB24" s="21">
        <v>918.074</v>
      </c>
      <c r="AC24" s="21">
        <v>1198.66</v>
      </c>
      <c r="AD24" s="21">
        <v>288.444</v>
      </c>
      <c r="AE24" s="21">
        <v>602.384</v>
      </c>
      <c r="AF24" s="21">
        <v>957.122</v>
      </c>
      <c r="AG24" s="21">
        <v>1328.178</v>
      </c>
      <c r="AH24" s="21">
        <v>337.078</v>
      </c>
      <c r="AI24" s="21">
        <v>766.968</v>
      </c>
      <c r="AJ24" s="23"/>
      <c r="AK24" s="21" t="s">
        <v>141</v>
      </c>
      <c r="AL24" s="21" t="s">
        <v>141</v>
      </c>
      <c r="AM24" s="21">
        <f>I24</f>
        <v>62.262</v>
      </c>
      <c r="AN24" s="23">
        <f>M24</f>
        <v>1178.185</v>
      </c>
      <c r="AO24" s="21">
        <f>Q24</f>
        <v>572.476</v>
      </c>
      <c r="AP24" s="21">
        <f>U24</f>
        <v>864.786</v>
      </c>
      <c r="AQ24" s="21">
        <f>Y24</f>
        <v>1154.202</v>
      </c>
      <c r="AR24" s="21">
        <f>AC24</f>
        <v>1198.66</v>
      </c>
      <c r="AS24" s="21">
        <f>AG24</f>
        <v>1328.178</v>
      </c>
    </row>
    <row r="25" spans="1:45" ht="12.75">
      <c r="A25" s="9" t="s">
        <v>137</v>
      </c>
      <c r="B25" s="267"/>
      <c r="C25" s="267"/>
      <c r="D25" s="267"/>
      <c r="E25" s="267"/>
      <c r="F25" s="267"/>
      <c r="G25" s="267"/>
      <c r="H25" s="21"/>
      <c r="I25" s="265"/>
      <c r="J25" s="212"/>
      <c r="K25" s="212"/>
      <c r="L25" s="213"/>
      <c r="M25" s="213"/>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40"/>
      <c r="AK25" s="265"/>
      <c r="AL25" s="262"/>
      <c r="AM25" s="265"/>
      <c r="AN25" s="262"/>
      <c r="AO25" s="262">
        <f>AO24/AN24-1</f>
        <v>-0.5141034727143869</v>
      </c>
      <c r="AP25" s="262">
        <f>AP24/AO24-1</f>
        <v>0.5106065581788581</v>
      </c>
      <c r="AQ25" s="262">
        <f>AQ24/AP24-1</f>
        <v>0.33466776751705063</v>
      </c>
      <c r="AR25" s="262">
        <f>AR24/AQ24-1</f>
        <v>0.03851838759593207</v>
      </c>
      <c r="AS25" s="262">
        <f>AS24/AR24-1</f>
        <v>0.10805232509635765</v>
      </c>
    </row>
    <row r="26" spans="1:45" ht="12.75">
      <c r="A26" s="18" t="s">
        <v>138</v>
      </c>
      <c r="B26" s="21" t="s">
        <v>141</v>
      </c>
      <c r="C26" s="21" t="s">
        <v>141</v>
      </c>
      <c r="D26" s="21" t="s">
        <v>141</v>
      </c>
      <c r="E26" s="21" t="s">
        <v>141</v>
      </c>
      <c r="F26" s="21" t="s">
        <v>141</v>
      </c>
      <c r="G26" s="21" t="s">
        <v>141</v>
      </c>
      <c r="H26" s="21" t="s">
        <v>141</v>
      </c>
      <c r="I26" s="21">
        <v>4.177</v>
      </c>
      <c r="J26" s="23" t="s">
        <v>141</v>
      </c>
      <c r="K26" s="23" t="s">
        <v>141</v>
      </c>
      <c r="L26" s="23" t="s">
        <v>141</v>
      </c>
      <c r="M26" s="23">
        <v>81.279</v>
      </c>
      <c r="N26" s="23" t="s">
        <v>139</v>
      </c>
      <c r="O26" s="23" t="s">
        <v>139</v>
      </c>
      <c r="P26" s="23" t="s">
        <v>139</v>
      </c>
      <c r="Q26" s="21">
        <v>72.504</v>
      </c>
      <c r="R26" s="23" t="s">
        <v>139</v>
      </c>
      <c r="S26" s="23" t="s">
        <v>139</v>
      </c>
      <c r="T26" s="23" t="s">
        <v>139</v>
      </c>
      <c r="U26" s="23">
        <v>74.299</v>
      </c>
      <c r="V26" s="23" t="s">
        <v>139</v>
      </c>
      <c r="W26" s="23" t="s">
        <v>139</v>
      </c>
      <c r="X26" s="23" t="s">
        <v>139</v>
      </c>
      <c r="Y26" s="23">
        <v>89.063</v>
      </c>
      <c r="Z26" s="23" t="s">
        <v>139</v>
      </c>
      <c r="AA26" s="23" t="s">
        <v>139</v>
      </c>
      <c r="AB26" s="23" t="s">
        <v>139</v>
      </c>
      <c r="AC26" s="23">
        <v>84.787</v>
      </c>
      <c r="AD26" s="23" t="s">
        <v>139</v>
      </c>
      <c r="AE26" s="23" t="s">
        <v>139</v>
      </c>
      <c r="AF26" s="23" t="s">
        <v>139</v>
      </c>
      <c r="AG26" s="23">
        <v>87.958</v>
      </c>
      <c r="AH26" s="23" t="s">
        <v>139</v>
      </c>
      <c r="AI26" s="23" t="s">
        <v>139</v>
      </c>
      <c r="AJ26" s="23"/>
      <c r="AK26" s="21" t="s">
        <v>141</v>
      </c>
      <c r="AL26" s="21" t="s">
        <v>141</v>
      </c>
      <c r="AM26" s="297">
        <f>I26</f>
        <v>4.177</v>
      </c>
      <c r="AN26" s="297">
        <f>M26</f>
        <v>81.279</v>
      </c>
      <c r="AO26" s="297">
        <f>Q26</f>
        <v>72.504</v>
      </c>
      <c r="AP26" s="297">
        <f>U26</f>
        <v>74.299</v>
      </c>
      <c r="AQ26" s="297">
        <f>Y26</f>
        <v>89.063</v>
      </c>
      <c r="AR26" s="297">
        <f>AC26</f>
        <v>84.787</v>
      </c>
      <c r="AS26" s="297">
        <f>AG26</f>
        <v>87.958</v>
      </c>
    </row>
    <row r="27" spans="1:45" ht="12.75">
      <c r="A27" s="9" t="s">
        <v>137</v>
      </c>
      <c r="B27" s="267"/>
      <c r="C27" s="267"/>
      <c r="D27" s="267"/>
      <c r="E27" s="267"/>
      <c r="F27" s="267"/>
      <c r="G27" s="267"/>
      <c r="H27" s="267"/>
      <c r="I27" s="267"/>
      <c r="J27" s="212"/>
      <c r="K27" s="212"/>
      <c r="L27" s="213"/>
      <c r="M27" s="213"/>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35"/>
      <c r="AK27" s="267"/>
      <c r="AL27" s="21"/>
      <c r="AM27" s="267"/>
      <c r="AN27" s="262"/>
      <c r="AO27" s="262">
        <f>AO26/AN26-1</f>
        <v>-0.10796146606134416</v>
      </c>
      <c r="AP27" s="262">
        <f>AP26/AO26-1</f>
        <v>0.024757254772150628</v>
      </c>
      <c r="AQ27" s="262">
        <f>AQ26/AP26-1</f>
        <v>0.19871061521689382</v>
      </c>
      <c r="AR27" s="262">
        <f>AR26/AQ26-1</f>
        <v>-0.04801095853496962</v>
      </c>
      <c r="AS27" s="262">
        <f>AS26/AR26-1</f>
        <v>0.037399601353981016</v>
      </c>
    </row>
    <row r="28" spans="1:45" ht="12.75">
      <c r="A28" s="18" t="s">
        <v>3</v>
      </c>
      <c r="B28" s="21" t="s">
        <v>141</v>
      </c>
      <c r="C28" s="21" t="s">
        <v>141</v>
      </c>
      <c r="D28" s="21" t="s">
        <v>141</v>
      </c>
      <c r="E28" s="21" t="s">
        <v>141</v>
      </c>
      <c r="F28" s="21" t="s">
        <v>141</v>
      </c>
      <c r="G28" s="21" t="s">
        <v>141</v>
      </c>
      <c r="H28" s="21" t="s">
        <v>141</v>
      </c>
      <c r="I28" s="297">
        <v>1.555</v>
      </c>
      <c r="J28" s="297">
        <v>36.977</v>
      </c>
      <c r="K28" s="297">
        <v>224.062</v>
      </c>
      <c r="L28" s="297">
        <v>351.134</v>
      </c>
      <c r="M28" s="297">
        <v>177.421</v>
      </c>
      <c r="N28" s="297">
        <v>-25.625</v>
      </c>
      <c r="O28" s="297">
        <v>-55.17</v>
      </c>
      <c r="P28" s="297">
        <v>-60.909</v>
      </c>
      <c r="Q28" s="297">
        <v>-141.753</v>
      </c>
      <c r="R28" s="297">
        <v>-23.948</v>
      </c>
      <c r="S28" s="297">
        <v>-11.234</v>
      </c>
      <c r="T28" s="297">
        <v>30.841</v>
      </c>
      <c r="U28" s="297">
        <v>-27.811</v>
      </c>
      <c r="V28" s="297">
        <v>6.553</v>
      </c>
      <c r="W28" s="297">
        <v>10.573</v>
      </c>
      <c r="X28" s="297">
        <v>10.03</v>
      </c>
      <c r="Y28" s="297">
        <v>-54.714</v>
      </c>
      <c r="Z28" s="297">
        <v>7.169</v>
      </c>
      <c r="AA28" s="297">
        <v>36.071</v>
      </c>
      <c r="AB28" s="297">
        <v>76.086</v>
      </c>
      <c r="AC28" s="297">
        <v>85.696</v>
      </c>
      <c r="AD28" s="297">
        <v>-1.748</v>
      </c>
      <c r="AE28" s="297">
        <v>0.631</v>
      </c>
      <c r="AF28" s="297">
        <v>18.682</v>
      </c>
      <c r="AG28" s="297">
        <v>6.807</v>
      </c>
      <c r="AH28" s="297">
        <v>-21.632</v>
      </c>
      <c r="AI28" s="297">
        <v>1.476</v>
      </c>
      <c r="AJ28" s="30"/>
      <c r="AK28" s="21" t="s">
        <v>141</v>
      </c>
      <c r="AL28" s="21" t="s">
        <v>141</v>
      </c>
      <c r="AM28" s="297">
        <f>I28</f>
        <v>1.555</v>
      </c>
      <c r="AN28" s="297">
        <f>M28</f>
        <v>177.421</v>
      </c>
      <c r="AO28" s="297">
        <f>Q28</f>
        <v>-141.753</v>
      </c>
      <c r="AP28" s="297">
        <f>U28</f>
        <v>-27.811</v>
      </c>
      <c r="AQ28" s="297">
        <f>Y28</f>
        <v>-54.714</v>
      </c>
      <c r="AR28" s="297">
        <f>AC28</f>
        <v>85.696</v>
      </c>
      <c r="AS28" s="297">
        <f>AG28</f>
        <v>6.807</v>
      </c>
    </row>
    <row r="29" spans="1:45" ht="12.75">
      <c r="A29" s="9" t="s">
        <v>137</v>
      </c>
      <c r="B29" s="267"/>
      <c r="C29" s="267"/>
      <c r="D29" s="267"/>
      <c r="E29" s="267"/>
      <c r="F29" s="267"/>
      <c r="G29" s="267"/>
      <c r="H29" s="267"/>
      <c r="I29" s="267"/>
      <c r="J29" s="268"/>
      <c r="K29" s="268"/>
      <c r="L29" s="266"/>
      <c r="M29" s="266"/>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35"/>
      <c r="AK29" s="267"/>
      <c r="AL29" s="262"/>
      <c r="AM29" s="262"/>
      <c r="AN29" s="262"/>
      <c r="AO29" s="262">
        <f>AO28/AN28-1</f>
        <v>-1.7989640459697553</v>
      </c>
      <c r="AP29" s="262">
        <f>AP28/AO28-1</f>
        <v>-0.8038066213766198</v>
      </c>
      <c r="AQ29" s="262">
        <f>AQ28/AP28-1</f>
        <v>0.9673510481464169</v>
      </c>
      <c r="AR29" s="262">
        <f>AR28/AQ28-1</f>
        <v>-2.566253609679424</v>
      </c>
      <c r="AS29" s="262">
        <f>AS28/AR28-1</f>
        <v>-0.9205680545182973</v>
      </c>
    </row>
    <row r="30" spans="1:45" ht="12.75">
      <c r="A30" s="18" t="s">
        <v>2</v>
      </c>
      <c r="B30" s="21" t="s">
        <v>141</v>
      </c>
      <c r="C30" s="21" t="s">
        <v>141</v>
      </c>
      <c r="D30" s="21" t="s">
        <v>141</v>
      </c>
      <c r="E30" s="21" t="s">
        <v>141</v>
      </c>
      <c r="F30" s="21" t="s">
        <v>141</v>
      </c>
      <c r="G30" s="21" t="s">
        <v>141</v>
      </c>
      <c r="H30" s="21" t="s">
        <v>141</v>
      </c>
      <c r="I30" s="297">
        <v>5.732</v>
      </c>
      <c r="J30" s="297">
        <v>36.977</v>
      </c>
      <c r="K30" s="297">
        <v>224.062</v>
      </c>
      <c r="L30" s="297">
        <v>351.134</v>
      </c>
      <c r="M30" s="297">
        <v>387.089</v>
      </c>
      <c r="N30" s="297">
        <v>0</v>
      </c>
      <c r="O30" s="297">
        <v>0</v>
      </c>
      <c r="P30" s="297">
        <v>0</v>
      </c>
      <c r="Q30" s="297">
        <v>-25.587</v>
      </c>
      <c r="R30" s="297">
        <v>0</v>
      </c>
      <c r="S30" s="297">
        <v>0</v>
      </c>
      <c r="T30" s="297">
        <v>0</v>
      </c>
      <c r="U30" s="297">
        <v>104.667</v>
      </c>
      <c r="V30" s="297">
        <v>0</v>
      </c>
      <c r="W30" s="297">
        <v>0</v>
      </c>
      <c r="X30" s="297">
        <v>0</v>
      </c>
      <c r="Y30" s="297">
        <v>34.34864239357991</v>
      </c>
      <c r="Z30" s="297">
        <v>28.836</v>
      </c>
      <c r="AA30" s="297">
        <v>78.812</v>
      </c>
      <c r="AB30" s="297">
        <v>139.318</v>
      </c>
      <c r="AC30" s="297">
        <v>170.483</v>
      </c>
      <c r="AD30" s="297">
        <v>19.681</v>
      </c>
      <c r="AE30" s="297">
        <v>43.029</v>
      </c>
      <c r="AF30" s="297">
        <v>82.652</v>
      </c>
      <c r="AG30" s="297">
        <v>94.765</v>
      </c>
      <c r="AH30" s="297">
        <v>7.106</v>
      </c>
      <c r="AI30" s="297">
        <v>58.971</v>
      </c>
      <c r="AJ30" s="30"/>
      <c r="AK30" s="21"/>
      <c r="AL30" s="21"/>
      <c r="AM30" s="297">
        <f>I30</f>
        <v>5.732</v>
      </c>
      <c r="AN30" s="297">
        <f>M30</f>
        <v>387.089</v>
      </c>
      <c r="AO30" s="297">
        <f>Q30</f>
        <v>-25.587</v>
      </c>
      <c r="AP30" s="297">
        <f>U30</f>
        <v>104.667</v>
      </c>
      <c r="AQ30" s="297">
        <f>Y30</f>
        <v>34.34864239357991</v>
      </c>
      <c r="AR30" s="297">
        <f>AC30</f>
        <v>170.483</v>
      </c>
      <c r="AS30" s="297">
        <f>AG30</f>
        <v>94.765</v>
      </c>
    </row>
    <row r="31" spans="1:45" ht="12.75">
      <c r="A31" s="9" t="s">
        <v>137</v>
      </c>
      <c r="B31" s="267"/>
      <c r="C31" s="267"/>
      <c r="D31" s="267"/>
      <c r="E31" s="267"/>
      <c r="F31" s="267"/>
      <c r="G31" s="267"/>
      <c r="H31" s="267"/>
      <c r="I31" s="267"/>
      <c r="J31" s="268"/>
      <c r="K31" s="268"/>
      <c r="L31" s="266"/>
      <c r="M31" s="266"/>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35"/>
      <c r="AK31" s="267"/>
      <c r="AL31" s="262"/>
      <c r="AM31" s="262"/>
      <c r="AN31" s="262"/>
      <c r="AO31" s="262">
        <f>AO30/AN30-1</f>
        <v>-1.0661010775299737</v>
      </c>
      <c r="AP31" s="262">
        <f>AP30/AO30-1</f>
        <v>-5.090631961542971</v>
      </c>
      <c r="AQ31" s="262">
        <f>AQ30/AP30-1</f>
        <v>-0.6718293025157891</v>
      </c>
      <c r="AR31" s="262">
        <f>AR30/AQ30-1</f>
        <v>3.9633111564218595</v>
      </c>
      <c r="AS31" s="262">
        <f>AS30/AR30-1</f>
        <v>-0.4441381252089651</v>
      </c>
    </row>
    <row r="32" spans="1:45" ht="12.75">
      <c r="A32" s="328" t="s">
        <v>271</v>
      </c>
      <c r="B32" s="21" t="s">
        <v>141</v>
      </c>
      <c r="C32" s="21" t="s">
        <v>141</v>
      </c>
      <c r="D32" s="21" t="s">
        <v>141</v>
      </c>
      <c r="E32" s="21" t="s">
        <v>141</v>
      </c>
      <c r="F32" s="21" t="s">
        <v>141</v>
      </c>
      <c r="G32" s="21" t="s">
        <v>141</v>
      </c>
      <c r="H32" s="21" t="s">
        <v>141</v>
      </c>
      <c r="I32" s="297">
        <v>-31.752</v>
      </c>
      <c r="J32" s="297">
        <v>36.977</v>
      </c>
      <c r="K32" s="297">
        <v>224.062</v>
      </c>
      <c r="L32" s="297">
        <v>351.134</v>
      </c>
      <c r="M32" s="297">
        <v>-206.813</v>
      </c>
      <c r="N32" s="297">
        <v>0</v>
      </c>
      <c r="O32" s="297">
        <v>0</v>
      </c>
      <c r="P32" s="297">
        <v>0</v>
      </c>
      <c r="Q32" s="297">
        <v>-400.638</v>
      </c>
      <c r="R32" s="297">
        <v>0</v>
      </c>
      <c r="S32" s="297">
        <v>0</v>
      </c>
      <c r="T32" s="297">
        <v>0</v>
      </c>
      <c r="U32" s="297">
        <v>-244.897</v>
      </c>
      <c r="V32" s="297">
        <v>0</v>
      </c>
      <c r="W32" s="297">
        <v>0</v>
      </c>
      <c r="X32" s="297">
        <v>0</v>
      </c>
      <c r="Y32" s="297">
        <v>-317.3334779364068</v>
      </c>
      <c r="Z32" s="297">
        <v>-22.573</v>
      </c>
      <c r="AA32" s="297">
        <v>-53.208</v>
      </c>
      <c r="AB32" s="297">
        <v>-60.036</v>
      </c>
      <c r="AC32" s="297">
        <v>-40.14</v>
      </c>
      <c r="AD32" s="297">
        <v>-35.852</v>
      </c>
      <c r="AE32" s="297">
        <v>-77.598</v>
      </c>
      <c r="AF32" s="297">
        <v>-81.63</v>
      </c>
      <c r="AG32" s="297">
        <v>187.042</v>
      </c>
      <c r="AH32" s="297">
        <v>-57.508</v>
      </c>
      <c r="AI32" s="297">
        <v>-59.276</v>
      </c>
      <c r="AJ32" s="30"/>
      <c r="AK32" s="21"/>
      <c r="AL32" s="21"/>
      <c r="AM32" s="297">
        <f>I32</f>
        <v>-31.752</v>
      </c>
      <c r="AN32" s="297">
        <f>M32</f>
        <v>-206.813</v>
      </c>
      <c r="AO32" s="297">
        <f>Q32</f>
        <v>-400.638</v>
      </c>
      <c r="AP32" s="297">
        <f>U32</f>
        <v>-244.897</v>
      </c>
      <c r="AQ32" s="297">
        <f>Y32</f>
        <v>-317.3334779364068</v>
      </c>
      <c r="AR32" s="297">
        <f>AC32</f>
        <v>-40.14</v>
      </c>
      <c r="AS32" s="297">
        <f>AG32</f>
        <v>187.042</v>
      </c>
    </row>
    <row r="33" spans="1:45" ht="12.75">
      <c r="A33" s="9" t="s">
        <v>137</v>
      </c>
      <c r="B33" s="267"/>
      <c r="C33" s="267"/>
      <c r="D33" s="267"/>
      <c r="E33" s="267"/>
      <c r="F33" s="267"/>
      <c r="G33" s="267"/>
      <c r="H33" s="267"/>
      <c r="I33" s="267"/>
      <c r="J33" s="268"/>
      <c r="K33" s="268"/>
      <c r="L33" s="266"/>
      <c r="M33" s="266"/>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35"/>
      <c r="AK33" s="267"/>
      <c r="AL33" s="262"/>
      <c r="AM33" s="262"/>
      <c r="AN33" s="262"/>
      <c r="AO33" s="262">
        <f>AO32/AN32-1</f>
        <v>0.9371993056529329</v>
      </c>
      <c r="AP33" s="262">
        <f>AP32/AO32-1</f>
        <v>-0.38873247170762637</v>
      </c>
      <c r="AQ33" s="262">
        <f>AQ32/AP32-1</f>
        <v>0.2957834433921478</v>
      </c>
      <c r="AR33" s="262">
        <f>AR32/AQ32-1</f>
        <v>-0.8735084610012562</v>
      </c>
      <c r="AS33" s="262">
        <f>AS32/AR32-1</f>
        <v>-5.659740906826109</v>
      </c>
    </row>
    <row r="34" spans="1:45" ht="12.75">
      <c r="A34" s="328" t="s">
        <v>272</v>
      </c>
      <c r="B34" s="21" t="s">
        <v>141</v>
      </c>
      <c r="C34" s="21" t="s">
        <v>141</v>
      </c>
      <c r="D34" s="21" t="s">
        <v>141</v>
      </c>
      <c r="E34" s="21" t="s">
        <v>141</v>
      </c>
      <c r="F34" s="21" t="s">
        <v>141</v>
      </c>
      <c r="G34" s="21" t="s">
        <v>141</v>
      </c>
      <c r="H34" s="21" t="s">
        <v>141</v>
      </c>
      <c r="I34" s="21"/>
      <c r="J34" s="23">
        <v>36.977</v>
      </c>
      <c r="K34" s="23">
        <v>224.062</v>
      </c>
      <c r="L34" s="23">
        <v>351.134</v>
      </c>
      <c r="M34" s="23"/>
      <c r="N34" s="21"/>
      <c r="O34" s="21"/>
      <c r="P34" s="21"/>
      <c r="Q34" s="21"/>
      <c r="R34" s="21"/>
      <c r="S34" s="21"/>
      <c r="T34" s="21"/>
      <c r="U34" s="21"/>
      <c r="V34" s="21"/>
      <c r="W34" s="21"/>
      <c r="X34" s="21"/>
      <c r="Y34" s="21"/>
      <c r="Z34" s="21"/>
      <c r="AA34" s="21"/>
      <c r="AB34" s="21"/>
      <c r="AC34" s="21"/>
      <c r="AD34" s="21"/>
      <c r="AE34" s="21"/>
      <c r="AF34" s="21"/>
      <c r="AG34" s="21"/>
      <c r="AH34" s="21"/>
      <c r="AI34" s="21"/>
      <c r="AJ34" s="30"/>
      <c r="AK34" s="21"/>
      <c r="AL34" s="21"/>
      <c r="AM34" s="21"/>
      <c r="AN34" s="23"/>
      <c r="AO34" s="21"/>
      <c r="AP34" s="21"/>
      <c r="AQ34" s="21"/>
      <c r="AR34" s="21"/>
      <c r="AS34" s="21"/>
    </row>
    <row r="35" spans="1:45" ht="12.75">
      <c r="A35" s="329" t="s">
        <v>3</v>
      </c>
      <c r="B35" s="267"/>
      <c r="C35" s="267"/>
      <c r="D35" s="267"/>
      <c r="E35" s="267"/>
      <c r="F35" s="267"/>
      <c r="G35" s="267"/>
      <c r="H35" s="267"/>
      <c r="I35" s="12">
        <f>I28/I54</f>
        <v>0.0249751052006039</v>
      </c>
      <c r="J35" s="268"/>
      <c r="K35" s="268"/>
      <c r="L35" s="266"/>
      <c r="M35" s="12">
        <f>M28/M54</f>
        <v>0.09659928021909216</v>
      </c>
      <c r="N35" s="267"/>
      <c r="O35" s="267"/>
      <c r="P35" s="267"/>
      <c r="Q35" s="12">
        <f>Q28/Q54</f>
        <v>-0.16063390975228337</v>
      </c>
      <c r="R35" s="267"/>
      <c r="S35" s="267"/>
      <c r="T35" s="267"/>
      <c r="U35" s="12">
        <f>U28/U54</f>
        <v>-0.02019689265167459</v>
      </c>
      <c r="V35" s="267"/>
      <c r="W35" s="267"/>
      <c r="X35" s="267"/>
      <c r="Y35" s="12">
        <f aca="true" t="shared" si="8" ref="Y35:AI35">Y28/Y54</f>
        <v>-0.03049251323564476</v>
      </c>
      <c r="Z35" s="12">
        <f t="shared" si="8"/>
        <v>0.020606022281752644</v>
      </c>
      <c r="AA35" s="12">
        <f t="shared" si="8"/>
        <v>0.04295532032205474</v>
      </c>
      <c r="AB35" s="12">
        <f t="shared" si="8"/>
        <v>0.05963871570534778</v>
      </c>
      <c r="AC35" s="12">
        <f t="shared" si="8"/>
        <v>0.052103796580201936</v>
      </c>
      <c r="AD35" s="12">
        <f t="shared" si="8"/>
        <v>-0.005030244778387213</v>
      </c>
      <c r="AE35" s="12">
        <f t="shared" si="8"/>
        <v>0.0008145330247315978</v>
      </c>
      <c r="AF35" s="12">
        <f t="shared" si="8"/>
        <v>0.01503062524086251</v>
      </c>
      <c r="AG35" s="12">
        <f t="shared" si="8"/>
        <v>0.0039660274528105655</v>
      </c>
      <c r="AH35" s="12">
        <f t="shared" si="8"/>
        <v>-0.05488711502646416</v>
      </c>
      <c r="AI35" s="12">
        <f t="shared" si="8"/>
        <v>0.0015955583805731038</v>
      </c>
      <c r="AJ35" s="235"/>
      <c r="AK35" s="267"/>
      <c r="AL35" s="262"/>
      <c r="AM35" s="12">
        <f aca="true" t="shared" si="9" ref="AM35:AS35">AM28/AM54</f>
        <v>0.0249751052006039</v>
      </c>
      <c r="AN35" s="12">
        <f t="shared" si="9"/>
        <v>0.09659928021909216</v>
      </c>
      <c r="AO35" s="12">
        <f t="shared" si="9"/>
        <v>-0.16063390975228337</v>
      </c>
      <c r="AP35" s="12">
        <f t="shared" si="9"/>
        <v>-0.02019689265167459</v>
      </c>
      <c r="AQ35" s="12">
        <f t="shared" si="9"/>
        <v>-0.03049251323564476</v>
      </c>
      <c r="AR35" s="12">
        <f t="shared" si="9"/>
        <v>0.052103796580201936</v>
      </c>
      <c r="AS35" s="12">
        <f t="shared" si="9"/>
        <v>0.0039660274528105655</v>
      </c>
    </row>
    <row r="36" spans="1:45" ht="12.75">
      <c r="A36" s="329" t="s">
        <v>2</v>
      </c>
      <c r="B36" s="267"/>
      <c r="C36" s="267"/>
      <c r="D36" s="267"/>
      <c r="E36" s="267"/>
      <c r="F36" s="267"/>
      <c r="G36" s="267"/>
      <c r="H36" s="267"/>
      <c r="I36" s="12">
        <f>I30/I54</f>
        <v>0.09206257428286917</v>
      </c>
      <c r="J36" s="268"/>
      <c r="K36" s="268"/>
      <c r="L36" s="266"/>
      <c r="M36" s="12">
        <f>M30/M54</f>
        <v>0.2107558788459549</v>
      </c>
      <c r="N36" s="267"/>
      <c r="O36" s="267"/>
      <c r="P36" s="267"/>
      <c r="Q36" s="12">
        <f>Q30/Q54</f>
        <v>-0.02899508193005915</v>
      </c>
      <c r="R36" s="267"/>
      <c r="S36" s="267"/>
      <c r="T36" s="267"/>
      <c r="U36" s="12">
        <f>U30/U54</f>
        <v>0.07601122444977974</v>
      </c>
      <c r="V36" s="267"/>
      <c r="W36" s="267"/>
      <c r="X36" s="267"/>
      <c r="Y36" s="12">
        <f aca="true" t="shared" si="10" ref="Y36:AI36">Y30/Y54</f>
        <v>0.019142750170206238</v>
      </c>
      <c r="Z36" s="12">
        <f t="shared" si="10"/>
        <v>0.08288398082251629</v>
      </c>
      <c r="AA36" s="12">
        <f t="shared" si="10"/>
        <v>0.09385364157416702</v>
      </c>
      <c r="AB36" s="12">
        <f t="shared" si="10"/>
        <v>0.10920204235519863</v>
      </c>
      <c r="AC36" s="12">
        <f t="shared" si="10"/>
        <v>0.10365491449288844</v>
      </c>
      <c r="AD36" s="12">
        <f t="shared" si="10"/>
        <v>0.05663629718732194</v>
      </c>
      <c r="AE36" s="12">
        <f t="shared" si="10"/>
        <v>0.05554443981168926</v>
      </c>
      <c r="AF36" s="12">
        <f t="shared" si="10"/>
        <v>0.06649776455453207</v>
      </c>
      <c r="AG36" s="12">
        <f t="shared" si="10"/>
        <v>0.05521383745638214</v>
      </c>
      <c r="AH36" s="12">
        <f t="shared" si="10"/>
        <v>0.018030133107343485</v>
      </c>
      <c r="AI36" s="12">
        <f t="shared" si="10"/>
        <v>0.0637477461116372</v>
      </c>
      <c r="AJ36" s="235"/>
      <c r="AK36" s="267"/>
      <c r="AL36" s="262"/>
      <c r="AM36" s="12">
        <f aca="true" t="shared" si="11" ref="AM36:AS36">AM30/AM54</f>
        <v>0.09206257428286917</v>
      </c>
      <c r="AN36" s="12">
        <f t="shared" si="11"/>
        <v>0.2107558788459549</v>
      </c>
      <c r="AO36" s="12">
        <f t="shared" si="11"/>
        <v>-0.02899508193005915</v>
      </c>
      <c r="AP36" s="12">
        <f t="shared" si="11"/>
        <v>0.07601122444977974</v>
      </c>
      <c r="AQ36" s="12">
        <f t="shared" si="11"/>
        <v>0.019142750170206238</v>
      </c>
      <c r="AR36" s="12">
        <f t="shared" si="11"/>
        <v>0.10365491449288844</v>
      </c>
      <c r="AS36" s="12">
        <f t="shared" si="11"/>
        <v>0.05521383745638214</v>
      </c>
    </row>
    <row r="37" spans="1:45" ht="12.75">
      <c r="A37" s="329" t="s">
        <v>271</v>
      </c>
      <c r="B37" s="267"/>
      <c r="C37" s="267"/>
      <c r="D37" s="267"/>
      <c r="E37" s="267"/>
      <c r="F37" s="267"/>
      <c r="G37" s="267"/>
      <c r="H37" s="267"/>
      <c r="I37" s="12">
        <f>I32/I54</f>
        <v>-0.5099739809193409</v>
      </c>
      <c r="J37" s="268"/>
      <c r="K37" s="268"/>
      <c r="L37" s="266"/>
      <c r="M37" s="12">
        <f>M32/M54</f>
        <v>-0.11260215498701454</v>
      </c>
      <c r="N37" s="267"/>
      <c r="O37" s="267"/>
      <c r="P37" s="267"/>
      <c r="Q37" s="12">
        <f>Q32/Q54</f>
        <v>-0.45400131450717307</v>
      </c>
      <c r="R37" s="267"/>
      <c r="S37" s="267"/>
      <c r="T37" s="267"/>
      <c r="U37" s="12">
        <f>U32/U54</f>
        <v>-0.17784899571094717</v>
      </c>
      <c r="V37" s="267"/>
      <c r="W37" s="267"/>
      <c r="X37" s="267"/>
      <c r="Y37" s="12">
        <f aca="true" t="shared" si="12" ref="Y37:AI37">Y32/Y54</f>
        <v>-0.1768522732040989</v>
      </c>
      <c r="Z37" s="12">
        <f t="shared" si="12"/>
        <v>-0.06488209526656472</v>
      </c>
      <c r="AA37" s="12">
        <f t="shared" si="12"/>
        <v>-0.06336299752421305</v>
      </c>
      <c r="AB37" s="12">
        <f t="shared" si="12"/>
        <v>-0.04705819646303209</v>
      </c>
      <c r="AC37" s="12">
        <f t="shared" si="12"/>
        <v>-0.024405414426919646</v>
      </c>
      <c r="AD37" s="12">
        <f t="shared" si="12"/>
        <v>-0.10317181681621188</v>
      </c>
      <c r="AE37" s="12">
        <f t="shared" si="12"/>
        <v>-0.1001681991333162</v>
      </c>
      <c r="AF37" s="12">
        <f t="shared" si="12"/>
        <v>-0.06567551324331478</v>
      </c>
      <c r="AG37" s="12">
        <f t="shared" si="12"/>
        <v>0.10897806769922047</v>
      </c>
      <c r="AH37" s="12">
        <f t="shared" si="12"/>
        <v>-0.14591569022475503</v>
      </c>
      <c r="AI37" s="12">
        <f t="shared" si="12"/>
        <v>-0.0640774516035578</v>
      </c>
      <c r="AJ37" s="235"/>
      <c r="AK37" s="267"/>
      <c r="AL37" s="262"/>
      <c r="AM37" s="12">
        <f aca="true" t="shared" si="13" ref="AM37:AS37">AM32/AM54</f>
        <v>-0.5099739809193409</v>
      </c>
      <c r="AN37" s="12">
        <f t="shared" si="13"/>
        <v>-0.11260215498701454</v>
      </c>
      <c r="AO37" s="12">
        <f t="shared" si="13"/>
        <v>-0.45400131450717307</v>
      </c>
      <c r="AP37" s="12">
        <f t="shared" si="13"/>
        <v>-0.17784899571094717</v>
      </c>
      <c r="AQ37" s="12">
        <f t="shared" si="13"/>
        <v>-0.1768522732040989</v>
      </c>
      <c r="AR37" s="12">
        <f t="shared" si="13"/>
        <v>-0.024405414426919646</v>
      </c>
      <c r="AS37" s="12">
        <f t="shared" si="13"/>
        <v>0.10897806769922047</v>
      </c>
    </row>
    <row r="38" spans="1:45" ht="12.75">
      <c r="A38" s="18"/>
      <c r="B38" s="27"/>
      <c r="C38" s="27"/>
      <c r="D38" s="27"/>
      <c r="E38" s="27"/>
      <c r="F38" s="27"/>
      <c r="G38" s="27"/>
      <c r="H38" s="28"/>
      <c r="I38" s="28"/>
      <c r="J38" s="26"/>
      <c r="K38" s="26"/>
      <c r="L38" s="44"/>
      <c r="M38" s="44"/>
      <c r="N38" s="28"/>
      <c r="O38" s="28"/>
      <c r="P38" s="28"/>
      <c r="Q38" s="28"/>
      <c r="R38" s="28"/>
      <c r="S38" s="28"/>
      <c r="T38" s="28"/>
      <c r="U38" s="28"/>
      <c r="V38" s="28"/>
      <c r="W38" s="28"/>
      <c r="X38" s="28"/>
      <c r="Y38" s="28"/>
      <c r="Z38" s="28"/>
      <c r="AA38" s="28"/>
      <c r="AB38" s="28"/>
      <c r="AC38" s="28"/>
      <c r="AD38" s="28"/>
      <c r="AE38" s="28"/>
      <c r="AF38" s="28"/>
      <c r="AG38" s="28"/>
      <c r="AH38" s="28"/>
      <c r="AI38" s="28"/>
      <c r="AJ38" s="26"/>
      <c r="AK38" s="19"/>
      <c r="AL38" s="19"/>
      <c r="AM38" s="19"/>
      <c r="AN38" s="19"/>
      <c r="AO38" s="19"/>
      <c r="AP38" s="19"/>
      <c r="AQ38" s="19"/>
      <c r="AR38" s="19"/>
      <c r="AS38" s="19"/>
    </row>
    <row r="39" spans="1:45" ht="12.75">
      <c r="A39" s="2" t="s">
        <v>132</v>
      </c>
      <c r="B39" s="3" t="s">
        <v>6</v>
      </c>
      <c r="C39" s="4" t="s">
        <v>20</v>
      </c>
      <c r="D39" s="4" t="s">
        <v>21</v>
      </c>
      <c r="E39" s="4" t="s">
        <v>22</v>
      </c>
      <c r="F39" s="3" t="s">
        <v>0</v>
      </c>
      <c r="G39" s="3" t="s">
        <v>19</v>
      </c>
      <c r="H39" s="4" t="s">
        <v>18</v>
      </c>
      <c r="I39" s="4" t="s">
        <v>136</v>
      </c>
      <c r="J39" s="5" t="s">
        <v>160</v>
      </c>
      <c r="K39" s="3" t="s">
        <v>163</v>
      </c>
      <c r="L39" s="3" t="s">
        <v>164</v>
      </c>
      <c r="M39" s="3" t="s">
        <v>165</v>
      </c>
      <c r="N39" s="4" t="s">
        <v>172</v>
      </c>
      <c r="O39" s="4" t="s">
        <v>181</v>
      </c>
      <c r="P39" s="4" t="s">
        <v>183</v>
      </c>
      <c r="Q39" s="4" t="s">
        <v>185</v>
      </c>
      <c r="R39" s="4" t="s">
        <v>187</v>
      </c>
      <c r="S39" s="4" t="s">
        <v>202</v>
      </c>
      <c r="T39" s="4" t="s">
        <v>205</v>
      </c>
      <c r="U39" s="4" t="s">
        <v>206</v>
      </c>
      <c r="V39" s="4" t="s">
        <v>210</v>
      </c>
      <c r="W39" s="4" t="s">
        <v>211</v>
      </c>
      <c r="X39" s="4" t="s">
        <v>213</v>
      </c>
      <c r="Y39" s="4" t="s">
        <v>218</v>
      </c>
      <c r="Z39" s="4" t="s">
        <v>225</v>
      </c>
      <c r="AA39" s="4" t="s">
        <v>231</v>
      </c>
      <c r="AB39" s="4" t="s">
        <v>241</v>
      </c>
      <c r="AC39" s="4" t="s">
        <v>244</v>
      </c>
      <c r="AD39" s="4" t="s">
        <v>245</v>
      </c>
      <c r="AE39" s="4" t="s">
        <v>247</v>
      </c>
      <c r="AF39" s="4" t="s">
        <v>252</v>
      </c>
      <c r="AG39" s="4" t="s">
        <v>259</v>
      </c>
      <c r="AH39" s="4" t="s">
        <v>266</v>
      </c>
      <c r="AI39" s="4" t="s">
        <v>269</v>
      </c>
      <c r="AJ39" s="6"/>
      <c r="AK39" s="4">
        <v>2005</v>
      </c>
      <c r="AL39" s="4">
        <v>2006</v>
      </c>
      <c r="AM39" s="4">
        <v>2007</v>
      </c>
      <c r="AN39" s="4">
        <v>2008</v>
      </c>
      <c r="AO39" s="4">
        <v>2009</v>
      </c>
      <c r="AP39" s="4">
        <v>2010</v>
      </c>
      <c r="AQ39" s="4">
        <v>2011</v>
      </c>
      <c r="AR39" s="4">
        <v>2012</v>
      </c>
      <c r="AS39" s="4">
        <v>2013</v>
      </c>
    </row>
    <row r="40" spans="1:45" s="1" customFormat="1" ht="22.5">
      <c r="A40" s="37" t="s">
        <v>52</v>
      </c>
      <c r="B40" s="21" t="s">
        <v>141</v>
      </c>
      <c r="C40" s="21" t="s">
        <v>141</v>
      </c>
      <c r="D40" s="21" t="s">
        <v>141</v>
      </c>
      <c r="E40" s="21" t="s">
        <v>141</v>
      </c>
      <c r="F40" s="21" t="s">
        <v>141</v>
      </c>
      <c r="G40" s="21" t="s">
        <v>141</v>
      </c>
      <c r="H40" s="21" t="s">
        <v>141</v>
      </c>
      <c r="I40" s="21">
        <v>37.858</v>
      </c>
      <c r="J40" s="23" t="s">
        <v>141</v>
      </c>
      <c r="K40" s="23" t="s">
        <v>141</v>
      </c>
      <c r="L40" s="23" t="s">
        <v>141</v>
      </c>
      <c r="M40" s="23">
        <v>388.06</v>
      </c>
      <c r="N40" s="23" t="s">
        <v>139</v>
      </c>
      <c r="O40" s="23" t="s">
        <v>139</v>
      </c>
      <c r="P40" s="23" t="s">
        <v>139</v>
      </c>
      <c r="Q40" s="21">
        <v>180.828</v>
      </c>
      <c r="R40" s="23" t="s">
        <v>139</v>
      </c>
      <c r="S40" s="23" t="s">
        <v>139</v>
      </c>
      <c r="T40" s="23" t="s">
        <v>139</v>
      </c>
      <c r="U40" s="23">
        <v>254.428</v>
      </c>
      <c r="V40" s="23" t="s">
        <v>139</v>
      </c>
      <c r="W40" s="23" t="s">
        <v>139</v>
      </c>
      <c r="X40" s="23" t="s">
        <v>139</v>
      </c>
      <c r="Y40" s="23">
        <v>390.615</v>
      </c>
      <c r="Z40" s="23" t="s">
        <v>139</v>
      </c>
      <c r="AA40" s="23" t="s">
        <v>139</v>
      </c>
      <c r="AB40" s="23" t="s">
        <v>139</v>
      </c>
      <c r="AC40" s="23">
        <v>300.214</v>
      </c>
      <c r="AD40" s="23" t="s">
        <v>139</v>
      </c>
      <c r="AE40" s="23" t="s">
        <v>139</v>
      </c>
      <c r="AF40" s="23" t="s">
        <v>139</v>
      </c>
      <c r="AG40" s="23">
        <v>179.791</v>
      </c>
      <c r="AH40" s="23" t="s">
        <v>139</v>
      </c>
      <c r="AI40" s="23" t="s">
        <v>139</v>
      </c>
      <c r="AJ40" s="23"/>
      <c r="AK40" s="21" t="s">
        <v>141</v>
      </c>
      <c r="AL40" s="21" t="s">
        <v>141</v>
      </c>
      <c r="AM40" s="21">
        <v>37.858</v>
      </c>
      <c r="AN40" s="21">
        <v>388.06</v>
      </c>
      <c r="AO40" s="21">
        <f>Q40</f>
        <v>180.828</v>
      </c>
      <c r="AP40" s="21">
        <f>U40</f>
        <v>254.428</v>
      </c>
      <c r="AQ40" s="21">
        <f>Y40</f>
        <v>390.615</v>
      </c>
      <c r="AR40" s="21">
        <f>AC40</f>
        <v>300.214</v>
      </c>
      <c r="AS40" s="21">
        <f>AG40</f>
        <v>179.791</v>
      </c>
    </row>
    <row r="41" spans="1:45" s="219" customFormat="1" ht="12.75">
      <c r="A41" s="9" t="s">
        <v>137</v>
      </c>
      <c r="B41" s="269"/>
      <c r="C41" s="269"/>
      <c r="D41" s="269"/>
      <c r="E41" s="269"/>
      <c r="F41" s="269"/>
      <c r="G41" s="269"/>
      <c r="H41" s="270"/>
      <c r="I41" s="270"/>
      <c r="J41" s="268"/>
      <c r="K41" s="268"/>
      <c r="L41" s="266"/>
      <c r="M41" s="266"/>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35"/>
      <c r="AK41" s="270"/>
      <c r="AL41" s="262"/>
      <c r="AM41" s="262"/>
      <c r="AN41" s="262">
        <v>9.250409424692272</v>
      </c>
      <c r="AO41" s="262">
        <f>AO40/AN40-1</f>
        <v>-0.5340205122919136</v>
      </c>
      <c r="AP41" s="262">
        <f>AP40/AO40-1</f>
        <v>0.40701661247151977</v>
      </c>
      <c r="AQ41" s="262">
        <f>AQ40/AP40-1</f>
        <v>0.5352673447890957</v>
      </c>
      <c r="AR41" s="262">
        <f>AR40/AQ40-1</f>
        <v>-0.2314324846716076</v>
      </c>
      <c r="AS41" s="262">
        <f>AS40/AR40-1</f>
        <v>-0.4011238649763169</v>
      </c>
    </row>
    <row r="42" spans="1:45" ht="12.75">
      <c r="A42" s="32"/>
      <c r="B42" s="25"/>
      <c r="C42" s="25"/>
      <c r="D42" s="25"/>
      <c r="E42" s="25"/>
      <c r="F42" s="25"/>
      <c r="G42" s="25"/>
      <c r="H42" s="33"/>
      <c r="I42" s="33"/>
      <c r="J42" s="34"/>
      <c r="K42" s="34"/>
      <c r="L42" s="34"/>
      <c r="M42" s="34"/>
      <c r="N42" s="33"/>
      <c r="O42" s="33"/>
      <c r="P42" s="33"/>
      <c r="Q42" s="33"/>
      <c r="R42" s="33"/>
      <c r="S42" s="33"/>
      <c r="T42" s="33"/>
      <c r="U42" s="33"/>
      <c r="V42" s="33"/>
      <c r="W42" s="33"/>
      <c r="X42" s="33"/>
      <c r="Y42" s="33"/>
      <c r="Z42" s="33"/>
      <c r="AA42" s="33"/>
      <c r="AB42" s="33"/>
      <c r="AC42" s="33"/>
      <c r="AD42" s="33"/>
      <c r="AE42" s="33"/>
      <c r="AF42" s="33"/>
      <c r="AG42" s="33"/>
      <c r="AH42" s="33"/>
      <c r="AI42" s="33"/>
      <c r="AJ42" s="35"/>
      <c r="AK42" s="33"/>
      <c r="AL42" s="33"/>
      <c r="AM42" s="33"/>
      <c r="AN42" s="33"/>
      <c r="AO42" s="33"/>
      <c r="AP42" s="33"/>
      <c r="AQ42" s="33"/>
      <c r="AR42" s="33"/>
      <c r="AS42" s="33"/>
    </row>
    <row r="43" spans="1:45" ht="12.75">
      <c r="A43" s="2" t="s">
        <v>263</v>
      </c>
      <c r="B43" s="3" t="s">
        <v>6</v>
      </c>
      <c r="C43" s="4" t="s">
        <v>20</v>
      </c>
      <c r="D43" s="4" t="s">
        <v>21</v>
      </c>
      <c r="E43" s="4" t="s">
        <v>22</v>
      </c>
      <c r="F43" s="3" t="s">
        <v>0</v>
      </c>
      <c r="G43" s="3" t="s">
        <v>19</v>
      </c>
      <c r="H43" s="4" t="s">
        <v>18</v>
      </c>
      <c r="I43" s="4" t="s">
        <v>136</v>
      </c>
      <c r="J43" s="5" t="s">
        <v>160</v>
      </c>
      <c r="K43" s="3" t="s">
        <v>163</v>
      </c>
      <c r="L43" s="3" t="s">
        <v>164</v>
      </c>
      <c r="M43" s="3" t="s">
        <v>165</v>
      </c>
      <c r="N43" s="4" t="s">
        <v>172</v>
      </c>
      <c r="O43" s="4" t="s">
        <v>181</v>
      </c>
      <c r="P43" s="4" t="s">
        <v>183</v>
      </c>
      <c r="Q43" s="4" t="s">
        <v>185</v>
      </c>
      <c r="R43" s="4" t="s">
        <v>187</v>
      </c>
      <c r="S43" s="4" t="s">
        <v>202</v>
      </c>
      <c r="T43" s="4" t="s">
        <v>205</v>
      </c>
      <c r="U43" s="4" t="s">
        <v>206</v>
      </c>
      <c r="V43" s="4" t="s">
        <v>210</v>
      </c>
      <c r="W43" s="4" t="s">
        <v>211</v>
      </c>
      <c r="X43" s="4" t="s">
        <v>213</v>
      </c>
      <c r="Y43" s="4" t="s">
        <v>218</v>
      </c>
      <c r="Z43" s="4" t="s">
        <v>225</v>
      </c>
      <c r="AA43" s="4" t="s">
        <v>231</v>
      </c>
      <c r="AB43" s="4" t="s">
        <v>241</v>
      </c>
      <c r="AC43" s="4" t="s">
        <v>244</v>
      </c>
      <c r="AD43" s="4" t="s">
        <v>245</v>
      </c>
      <c r="AE43" s="4" t="s">
        <v>247</v>
      </c>
      <c r="AF43" s="4" t="s">
        <v>252</v>
      </c>
      <c r="AG43" s="4" t="s">
        <v>259</v>
      </c>
      <c r="AH43" s="4" t="s">
        <v>266</v>
      </c>
      <c r="AI43" s="4" t="s">
        <v>269</v>
      </c>
      <c r="AJ43" s="6"/>
      <c r="AK43" s="4">
        <v>2005</v>
      </c>
      <c r="AL43" s="4">
        <v>2006</v>
      </c>
      <c r="AM43" s="4">
        <v>2007</v>
      </c>
      <c r="AN43" s="4">
        <v>2008</v>
      </c>
      <c r="AO43" s="4">
        <v>2009</v>
      </c>
      <c r="AP43" s="4">
        <v>2010</v>
      </c>
      <c r="AQ43" s="4">
        <v>2011</v>
      </c>
      <c r="AR43" s="4">
        <v>2012</v>
      </c>
      <c r="AS43" s="4">
        <v>2013</v>
      </c>
    </row>
    <row r="44" spans="1:45" ht="12.75">
      <c r="A44" s="18" t="s">
        <v>14</v>
      </c>
      <c r="B44" s="21" t="s">
        <v>141</v>
      </c>
      <c r="C44" s="21" t="s">
        <v>141</v>
      </c>
      <c r="D44" s="21" t="s">
        <v>141</v>
      </c>
      <c r="E44" s="21" t="s">
        <v>141</v>
      </c>
      <c r="F44" s="21" t="s">
        <v>141</v>
      </c>
      <c r="G44" s="21" t="s">
        <v>141</v>
      </c>
      <c r="H44" s="21" t="s">
        <v>141</v>
      </c>
      <c r="I44" s="19">
        <v>0.0249751052006039</v>
      </c>
      <c r="J44" s="19">
        <v>0.09623713003737365</v>
      </c>
      <c r="K44" s="19">
        <v>0.22656921493244242</v>
      </c>
      <c r="L44" s="19">
        <v>0.2142860194199642</v>
      </c>
      <c r="M44" s="19">
        <v>0.09659928021909216</v>
      </c>
      <c r="N44" s="19">
        <f>N28/(N24+49.69)</f>
        <v>-0.1684126817213912</v>
      </c>
      <c r="O44" s="19">
        <f>O28/(O24+113.228)</f>
        <v>-0.15955785382105922</v>
      </c>
      <c r="P44" s="19">
        <f>P28/(P24+224.436)</f>
        <v>-0.09536416997678093</v>
      </c>
      <c r="Q44" s="19">
        <f>Q28/(Q24+309.984)</f>
        <v>-0.16063390975228337</v>
      </c>
      <c r="R44" s="19">
        <f>R28/(R24+62.129)</f>
        <v>-0.10683631042666715</v>
      </c>
      <c r="S44" s="19">
        <f>S28/(S24+183.643)</f>
        <v>-0.020270331228832445</v>
      </c>
      <c r="T44" s="19">
        <f>T28/(T24+371.964)</f>
        <v>0.030809420344147246</v>
      </c>
      <c r="U44" s="19">
        <f>U28/(U24+111.276)</f>
        <v>-0.02849306703877418</v>
      </c>
      <c r="V44" s="19">
        <f>V28/(V24+111.276)</f>
        <v>0.017669454735672722</v>
      </c>
      <c r="W44" s="19">
        <f>W28/(W24+310.493)</f>
        <v>0.011666423915010438</v>
      </c>
      <c r="X44" s="19">
        <f>X28/(X24+514.211)</f>
        <v>0.007118432837621662</v>
      </c>
      <c r="Y44" s="19">
        <f>Y28/(Y24+640.14)</f>
        <v>-0.03049251480486997</v>
      </c>
      <c r="Z44" s="19">
        <f>Z28/(Z24+72.865)</f>
        <v>0.020606022281752644</v>
      </c>
      <c r="AA44" s="19">
        <f>AA28/(AA24+235.254)</f>
        <v>0.04295532032205474</v>
      </c>
      <c r="AB44" s="19">
        <f>AB28/(AB24+446.057)</f>
        <v>0.055776168124615604</v>
      </c>
      <c r="AC44" s="19">
        <f>AC28/(AC24+235.254)</f>
        <v>0.05976369573070631</v>
      </c>
      <c r="AD44" s="19">
        <f>AD28/(AD24+59.054)</f>
        <v>-0.005030244778387213</v>
      </c>
      <c r="AE44" s="19">
        <f>AE28/(AE24+172.293)</f>
        <v>0.0008145330247315978</v>
      </c>
      <c r="AF44" s="19">
        <f>AF28/(AF24+285.807)</f>
        <v>0.01503062524086251</v>
      </c>
      <c r="AG44" s="19">
        <f>AG28/(AG24+388.149)</f>
        <v>0.0039660274528105655</v>
      </c>
      <c r="AH44" s="19">
        <f>AH28/(AH24+59.054)</f>
        <v>-0.0546080599396161</v>
      </c>
      <c r="AI44" s="19">
        <f>AI28/(AI24+59.054)</f>
        <v>0.0017868773470924504</v>
      </c>
      <c r="AJ44" s="242"/>
      <c r="AK44" s="271" t="s">
        <v>141</v>
      </c>
      <c r="AL44" s="271" t="s">
        <v>141</v>
      </c>
      <c r="AM44" s="19">
        <v>0.0249751052006039</v>
      </c>
      <c r="AN44" s="19">
        <v>0.09659928021909216</v>
      </c>
      <c r="AO44" s="19">
        <f>Q44</f>
        <v>-0.16063390975228337</v>
      </c>
      <c r="AP44" s="19">
        <f>U44</f>
        <v>-0.02849306703877418</v>
      </c>
      <c r="AQ44" s="19">
        <f>Y44</f>
        <v>-0.03049251480486997</v>
      </c>
      <c r="AR44" s="19">
        <f>AC44</f>
        <v>0.05976369573070631</v>
      </c>
      <c r="AS44" s="19">
        <f>AG44</f>
        <v>0.0039660274528105655</v>
      </c>
    </row>
    <row r="45" spans="1:45" ht="12.75">
      <c r="A45" s="18" t="s">
        <v>154</v>
      </c>
      <c r="B45" s="21" t="s">
        <v>141</v>
      </c>
      <c r="C45" s="21" t="s">
        <v>141</v>
      </c>
      <c r="D45" s="21" t="s">
        <v>141</v>
      </c>
      <c r="E45" s="21" t="s">
        <v>141</v>
      </c>
      <c r="F45" s="21" t="s">
        <v>141</v>
      </c>
      <c r="G45" s="21" t="s">
        <v>141</v>
      </c>
      <c r="H45" s="21" t="s">
        <v>141</v>
      </c>
      <c r="I45" s="21">
        <v>14.97390299556858</v>
      </c>
      <c r="J45" s="21">
        <v>77.64739638777516</v>
      </c>
      <c r="K45" s="21">
        <v>224.04815475607643</v>
      </c>
      <c r="L45" s="21">
        <v>232.27286605879772</v>
      </c>
      <c r="M45" s="21">
        <v>100.08327750526479</v>
      </c>
      <c r="N45" s="21">
        <f aca="true" t="shared" si="14" ref="N45:AG45">N28/N4*1000</f>
        <v>-57.922805374449325</v>
      </c>
      <c r="O45" s="21">
        <f t="shared" si="14"/>
        <v>-68.36798142298855</v>
      </c>
      <c r="P45" s="21">
        <f t="shared" si="14"/>
        <v>-46.67795667302289</v>
      </c>
      <c r="Q45" s="21">
        <f t="shared" si="14"/>
        <v>-84.5264649532461</v>
      </c>
      <c r="R45" s="21">
        <f t="shared" si="14"/>
        <v>-75.86627517681306</v>
      </c>
      <c r="S45" s="21">
        <f t="shared" si="14"/>
        <v>-16.66765578635015</v>
      </c>
      <c r="T45" s="21">
        <f t="shared" si="14"/>
        <v>26.22779412533813</v>
      </c>
      <c r="U45" s="21">
        <f t="shared" si="14"/>
        <v>-16.957926829268292</v>
      </c>
      <c r="V45" s="21">
        <f t="shared" si="14"/>
        <v>18.70981486491173</v>
      </c>
      <c r="W45" s="21">
        <f t="shared" si="14"/>
        <v>13.426436753822975</v>
      </c>
      <c r="X45" s="21">
        <f t="shared" si="14"/>
        <v>7.935450882873485</v>
      </c>
      <c r="Y45" s="21">
        <f t="shared" si="14"/>
        <v>-33.34283460824824</v>
      </c>
      <c r="Z45" s="21">
        <f t="shared" si="14"/>
        <v>18.466699507459715</v>
      </c>
      <c r="AA45" s="21">
        <f t="shared" si="14"/>
        <v>42.238011316721455</v>
      </c>
      <c r="AB45" s="21">
        <f t="shared" si="14"/>
        <v>58.594126689111675</v>
      </c>
      <c r="AC45" s="21">
        <f t="shared" si="14"/>
        <v>50.43478957179025</v>
      </c>
      <c r="AD45" s="21">
        <f t="shared" si="14"/>
        <v>-4.065133125737754</v>
      </c>
      <c r="AE45" s="21">
        <f t="shared" si="14"/>
        <v>0.7018021093668957</v>
      </c>
      <c r="AF45" s="21">
        <f t="shared" si="14"/>
        <v>12.7183788607772</v>
      </c>
      <c r="AG45" s="21">
        <f t="shared" si="14"/>
        <v>3.238243828014659</v>
      </c>
      <c r="AH45" s="21">
        <f>AH28/AH4*1000</f>
        <v>-33.6033795903095</v>
      </c>
      <c r="AI45" s="21">
        <f>AI28/AI4*1000</f>
        <v>1.0729181659625844</v>
      </c>
      <c r="AJ45" s="23"/>
      <c r="AK45" s="21" t="s">
        <v>141</v>
      </c>
      <c r="AL45" s="21" t="s">
        <v>141</v>
      </c>
      <c r="AM45" s="21">
        <v>14.97390299556858</v>
      </c>
      <c r="AN45" s="21">
        <v>100.08327750526479</v>
      </c>
      <c r="AO45" s="21">
        <f>Q45</f>
        <v>-84.5264649532461</v>
      </c>
      <c r="AP45" s="21">
        <f>U45</f>
        <v>-16.957926829268292</v>
      </c>
      <c r="AQ45" s="21">
        <f>Y45</f>
        <v>-33.34283460824824</v>
      </c>
      <c r="AR45" s="21">
        <f>AC45</f>
        <v>50.43478957179025</v>
      </c>
      <c r="AS45" s="21">
        <f>AG45</f>
        <v>3.238243828014659</v>
      </c>
    </row>
    <row r="46" spans="1:45" ht="12.75">
      <c r="A46" s="32"/>
      <c r="B46" s="247"/>
      <c r="C46" s="247"/>
      <c r="D46" s="247"/>
      <c r="E46" s="247"/>
      <c r="F46" s="247"/>
      <c r="G46" s="247"/>
      <c r="H46" s="248"/>
      <c r="I46" s="248"/>
      <c r="J46" s="249"/>
      <c r="K46" s="249"/>
      <c r="L46" s="249"/>
      <c r="M46" s="249"/>
      <c r="N46" s="248"/>
      <c r="O46" s="248"/>
      <c r="P46" s="248"/>
      <c r="Q46" s="248"/>
      <c r="R46" s="248"/>
      <c r="S46" s="248"/>
      <c r="T46" s="248"/>
      <c r="U46" s="248"/>
      <c r="V46" s="248"/>
      <c r="W46" s="248"/>
      <c r="X46" s="248"/>
      <c r="Y46" s="248"/>
      <c r="Z46" s="248"/>
      <c r="AA46" s="248"/>
      <c r="AB46" s="248"/>
      <c r="AC46" s="248"/>
      <c r="AD46" s="248"/>
      <c r="AE46" s="248"/>
      <c r="AF46" s="248"/>
      <c r="AG46" s="248"/>
      <c r="AH46" s="248"/>
      <c r="AI46" s="248"/>
      <c r="AK46" s="248"/>
      <c r="AL46" s="248"/>
      <c r="AM46" s="248"/>
      <c r="AN46" s="248"/>
      <c r="AO46" s="248"/>
      <c r="AP46" s="248"/>
      <c r="AQ46" s="248"/>
      <c r="AR46" s="248"/>
      <c r="AS46" s="248"/>
    </row>
    <row r="47" spans="1:40" ht="12.75">
      <c r="A47" s="18"/>
      <c r="B47" s="47"/>
      <c r="C47" s="47"/>
      <c r="D47" s="47"/>
      <c r="E47" s="47"/>
      <c r="F47" s="47"/>
      <c r="G47" s="47"/>
      <c r="H47" s="18"/>
      <c r="I47" s="18"/>
      <c r="J47" s="250"/>
      <c r="K47" s="250"/>
      <c r="L47" s="250"/>
      <c r="M47" s="250"/>
      <c r="N47" s="18"/>
      <c r="O47" s="18"/>
      <c r="P47" s="18"/>
      <c r="Q47" s="18"/>
      <c r="R47" s="18"/>
      <c r="S47" s="18"/>
      <c r="T47" s="18"/>
      <c r="U47" s="18"/>
      <c r="V47" s="18"/>
      <c r="W47" s="18"/>
      <c r="X47" s="18"/>
      <c r="Y47" s="18"/>
      <c r="Z47" s="18"/>
      <c r="AA47" s="18"/>
      <c r="AB47" s="18"/>
      <c r="AC47" s="18"/>
      <c r="AD47" s="18"/>
      <c r="AE47" s="18"/>
      <c r="AF47" s="18"/>
      <c r="AG47" s="18"/>
      <c r="AH47" s="18"/>
      <c r="AI47" s="18"/>
      <c r="AJ47" s="250"/>
      <c r="AK47" s="18"/>
      <c r="AL47" s="18"/>
      <c r="AM47" s="18"/>
      <c r="AN47" s="18"/>
    </row>
    <row r="48" spans="1:40" ht="12.75">
      <c r="A48" s="49" t="s">
        <v>190</v>
      </c>
      <c r="B48" s="47"/>
      <c r="C48" s="47"/>
      <c r="D48" s="252"/>
      <c r="E48" s="252"/>
      <c r="F48" s="47"/>
      <c r="G48" s="47"/>
      <c r="H48" s="253"/>
      <c r="I48" s="253"/>
      <c r="J48" s="250"/>
      <c r="K48" s="250"/>
      <c r="L48" s="250"/>
      <c r="M48" s="250"/>
      <c r="N48" s="253"/>
      <c r="O48" s="253"/>
      <c r="P48" s="253"/>
      <c r="Q48" s="253"/>
      <c r="R48" s="253"/>
      <c r="S48" s="253"/>
      <c r="T48" s="253"/>
      <c r="U48" s="253"/>
      <c r="V48" s="253"/>
      <c r="W48" s="253"/>
      <c r="X48" s="253"/>
      <c r="Y48" s="253"/>
      <c r="Z48" s="253"/>
      <c r="AA48" s="253"/>
      <c r="AB48" s="253"/>
      <c r="AC48" s="253"/>
      <c r="AD48" s="253"/>
      <c r="AE48" s="253"/>
      <c r="AF48" s="253"/>
      <c r="AG48" s="253"/>
      <c r="AH48" s="253"/>
      <c r="AI48" s="253"/>
      <c r="AK48" s="253"/>
      <c r="AL48" s="253"/>
      <c r="AM48" s="253"/>
      <c r="AN48" s="253"/>
    </row>
    <row r="49" spans="1:40" ht="12.75">
      <c r="A49" s="49" t="s">
        <v>197</v>
      </c>
      <c r="B49" s="47"/>
      <c r="C49" s="47"/>
      <c r="D49" s="254"/>
      <c r="E49" s="254"/>
      <c r="F49" s="47"/>
      <c r="G49" s="47"/>
      <c r="H49" s="253"/>
      <c r="I49" s="253"/>
      <c r="J49" s="250"/>
      <c r="K49" s="250"/>
      <c r="L49" s="250"/>
      <c r="M49" s="250"/>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0"/>
      <c r="AK49" s="253"/>
      <c r="AL49" s="253"/>
      <c r="AM49" s="253"/>
      <c r="AN49" s="253"/>
    </row>
    <row r="50" spans="1:40" ht="12.75">
      <c r="A50" s="49" t="s">
        <v>198</v>
      </c>
      <c r="B50" s="47"/>
      <c r="C50" s="47"/>
      <c r="D50" s="252"/>
      <c r="E50" s="252"/>
      <c r="F50" s="47"/>
      <c r="G50" s="47"/>
      <c r="H50" s="253"/>
      <c r="I50" s="253"/>
      <c r="J50" s="250"/>
      <c r="K50" s="250"/>
      <c r="L50" s="250"/>
      <c r="M50" s="250"/>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0"/>
      <c r="AK50" s="253"/>
      <c r="AL50" s="253"/>
      <c r="AM50" s="253"/>
      <c r="AN50" s="253"/>
    </row>
    <row r="51" spans="1:40" ht="12.75">
      <c r="A51" s="18"/>
      <c r="B51" s="47"/>
      <c r="C51" s="47"/>
      <c r="D51" s="253"/>
      <c r="E51" s="253"/>
      <c r="F51" s="253"/>
      <c r="G51" s="253"/>
      <c r="H51" s="253"/>
      <c r="I51" s="253"/>
      <c r="J51" s="255"/>
      <c r="K51" s="255"/>
      <c r="L51" s="255"/>
      <c r="M51" s="255"/>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0"/>
      <c r="AK51" s="253"/>
      <c r="AL51" s="253"/>
      <c r="AM51" s="253"/>
      <c r="AN51" s="253"/>
    </row>
    <row r="52" spans="1:40" ht="12.75">
      <c r="A52" s="18"/>
      <c r="B52" s="47"/>
      <c r="C52" s="252"/>
      <c r="D52" s="253"/>
      <c r="E52" s="253"/>
      <c r="F52" s="253"/>
      <c r="G52" s="253"/>
      <c r="H52" s="253"/>
      <c r="I52" s="253"/>
      <c r="J52" s="255"/>
      <c r="K52" s="255"/>
      <c r="L52" s="255"/>
      <c r="M52" s="255"/>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0"/>
      <c r="AK52" s="253"/>
      <c r="AL52" s="253"/>
      <c r="AM52" s="253"/>
      <c r="AN52" s="253"/>
    </row>
    <row r="53" spans="1:45" s="334" customFormat="1" ht="12.75" hidden="1" outlineLevel="1">
      <c r="A53" s="336" t="s">
        <v>273</v>
      </c>
      <c r="B53" s="330"/>
      <c r="C53" s="331"/>
      <c r="D53" s="332"/>
      <c r="E53" s="331"/>
      <c r="F53" s="330"/>
      <c r="G53" s="330"/>
      <c r="I53" s="332">
        <v>0</v>
      </c>
      <c r="J53" s="333"/>
      <c r="K53" s="333"/>
      <c r="L53" s="333"/>
      <c r="M53" s="332">
        <v>658.485</v>
      </c>
      <c r="N53" s="332">
        <v>0</v>
      </c>
      <c r="O53" s="332">
        <v>0</v>
      </c>
      <c r="P53" s="332">
        <v>0</v>
      </c>
      <c r="Q53" s="332">
        <v>309.984</v>
      </c>
      <c r="R53" s="332">
        <v>0</v>
      </c>
      <c r="S53" s="332">
        <v>0</v>
      </c>
      <c r="T53" s="332">
        <v>0</v>
      </c>
      <c r="U53" s="332">
        <v>512.208</v>
      </c>
      <c r="V53" s="332">
        <v>0</v>
      </c>
      <c r="W53" s="332">
        <v>0</v>
      </c>
      <c r="X53" s="332">
        <v>0</v>
      </c>
      <c r="Y53" s="332">
        <v>640.1400923415754</v>
      </c>
      <c r="Z53" s="332">
        <v>72.865</v>
      </c>
      <c r="AA53" s="332">
        <v>235.254</v>
      </c>
      <c r="AB53" s="332">
        <v>357.708</v>
      </c>
      <c r="AC53" s="332">
        <v>446.057</v>
      </c>
      <c r="AD53" s="332">
        <v>59.054</v>
      </c>
      <c r="AE53" s="332">
        <v>172.293</v>
      </c>
      <c r="AF53" s="332">
        <v>285.807</v>
      </c>
      <c r="AG53" s="332">
        <v>388.149</v>
      </c>
      <c r="AH53" s="332">
        <v>57.04</v>
      </c>
      <c r="AI53" s="332">
        <v>158.1</v>
      </c>
      <c r="AJ53" s="332"/>
      <c r="AK53" s="332"/>
      <c r="AL53" s="332"/>
      <c r="AM53" s="332">
        <v>0</v>
      </c>
      <c r="AN53" s="332">
        <v>658.485</v>
      </c>
      <c r="AO53" s="332">
        <v>309.984</v>
      </c>
      <c r="AP53" s="332">
        <v>512.208</v>
      </c>
      <c r="AQ53" s="332">
        <v>640.1400923415754</v>
      </c>
      <c r="AR53" s="332">
        <v>446.057</v>
      </c>
      <c r="AS53" s="332">
        <v>388.149</v>
      </c>
    </row>
    <row r="54" spans="1:45" s="334" customFormat="1" ht="12.75" hidden="1" outlineLevel="1">
      <c r="A54" s="336" t="s">
        <v>274</v>
      </c>
      <c r="B54" s="330"/>
      <c r="C54" s="331"/>
      <c r="D54" s="331"/>
      <c r="E54" s="331"/>
      <c r="F54" s="330"/>
      <c r="G54" s="330"/>
      <c r="H54" s="332"/>
      <c r="I54" s="332">
        <f>I53+I24</f>
        <v>62.262</v>
      </c>
      <c r="J54" s="333"/>
      <c r="K54" s="333"/>
      <c r="L54" s="333"/>
      <c r="M54" s="332">
        <f aca="true" t="shared" si="15" ref="M54:AI54">M53+M24</f>
        <v>1836.67</v>
      </c>
      <c r="N54" s="332">
        <f t="shared" si="15"/>
        <v>102.466</v>
      </c>
      <c r="O54" s="332">
        <f t="shared" si="15"/>
        <v>232.54</v>
      </c>
      <c r="P54" s="332">
        <f t="shared" si="15"/>
        <v>414.263</v>
      </c>
      <c r="Q54" s="332">
        <f t="shared" si="15"/>
        <v>882.46</v>
      </c>
      <c r="R54" s="332">
        <f t="shared" si="15"/>
        <v>162.027</v>
      </c>
      <c r="S54" s="332">
        <f t="shared" si="15"/>
        <v>370.566</v>
      </c>
      <c r="T54" s="332">
        <f t="shared" si="15"/>
        <v>629.061</v>
      </c>
      <c r="U54" s="332">
        <f t="shared" si="15"/>
        <v>1376.994</v>
      </c>
      <c r="V54" s="332">
        <f t="shared" si="15"/>
        <v>259.59</v>
      </c>
      <c r="W54" s="332">
        <f t="shared" si="15"/>
        <v>595.783</v>
      </c>
      <c r="X54" s="332">
        <f t="shared" si="15"/>
        <v>894.807</v>
      </c>
      <c r="Y54" s="332">
        <f t="shared" si="15"/>
        <v>1794.3420923415754</v>
      </c>
      <c r="Z54" s="332">
        <f t="shared" si="15"/>
        <v>347.908</v>
      </c>
      <c r="AA54" s="332">
        <f t="shared" si="15"/>
        <v>839.7330000000001</v>
      </c>
      <c r="AB54" s="332">
        <f t="shared" si="15"/>
        <v>1275.782</v>
      </c>
      <c r="AC54" s="332">
        <f t="shared" si="15"/>
        <v>1644.717</v>
      </c>
      <c r="AD54" s="332">
        <f t="shared" si="15"/>
        <v>347.49800000000005</v>
      </c>
      <c r="AE54" s="332">
        <f t="shared" si="15"/>
        <v>774.677</v>
      </c>
      <c r="AF54" s="332">
        <f t="shared" si="15"/>
        <v>1242.929</v>
      </c>
      <c r="AG54" s="332">
        <f t="shared" si="15"/>
        <v>1716.3270000000002</v>
      </c>
      <c r="AH54" s="332">
        <f t="shared" si="15"/>
        <v>394.118</v>
      </c>
      <c r="AI54" s="332">
        <f t="shared" si="15"/>
        <v>925.068</v>
      </c>
      <c r="AJ54" s="332"/>
      <c r="AK54" s="332"/>
      <c r="AL54" s="332"/>
      <c r="AM54" s="332">
        <f aca="true" t="shared" si="16" ref="AM54:AS54">AM53+AM24</f>
        <v>62.262</v>
      </c>
      <c r="AN54" s="332">
        <f t="shared" si="16"/>
        <v>1836.67</v>
      </c>
      <c r="AO54" s="332">
        <f t="shared" si="16"/>
        <v>882.46</v>
      </c>
      <c r="AP54" s="332">
        <f t="shared" si="16"/>
        <v>1376.994</v>
      </c>
      <c r="AQ54" s="332">
        <f t="shared" si="16"/>
        <v>1794.3420923415754</v>
      </c>
      <c r="AR54" s="332">
        <f t="shared" si="16"/>
        <v>1644.717</v>
      </c>
      <c r="AS54" s="332">
        <f t="shared" si="16"/>
        <v>1716.3270000000002</v>
      </c>
    </row>
    <row r="55" spans="1:45" ht="12.75" collapsed="1">
      <c r="A55" s="18"/>
      <c r="B55" s="47"/>
      <c r="C55" s="254"/>
      <c r="D55" s="252"/>
      <c r="E55" s="252"/>
      <c r="F55" s="47"/>
      <c r="G55" s="47"/>
      <c r="H55" s="253"/>
      <c r="I55" s="253"/>
      <c r="J55" s="250"/>
      <c r="K55" s="250"/>
      <c r="L55" s="250"/>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2"/>
      <c r="AS55" s="332"/>
    </row>
    <row r="56" spans="1:45" s="194" customFormat="1" ht="12.75">
      <c r="A56" s="18"/>
      <c r="B56" s="47"/>
      <c r="C56" s="254"/>
      <c r="D56" s="252"/>
      <c r="E56" s="252"/>
      <c r="F56" s="47"/>
      <c r="G56" s="47"/>
      <c r="H56" s="253"/>
      <c r="I56" s="253"/>
      <c r="J56" s="250"/>
      <c r="K56" s="250"/>
      <c r="L56" s="250"/>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332"/>
      <c r="AQ56" s="332"/>
      <c r="AR56" s="332"/>
      <c r="AS56" s="332"/>
    </row>
    <row r="57" spans="1:45" ht="12.75">
      <c r="A57" s="18"/>
      <c r="B57" s="47"/>
      <c r="C57" s="254"/>
      <c r="D57" s="252"/>
      <c r="E57" s="252"/>
      <c r="F57" s="47"/>
      <c r="G57" s="47"/>
      <c r="H57" s="253"/>
      <c r="I57" s="253"/>
      <c r="J57" s="250"/>
      <c r="K57" s="250"/>
      <c r="L57" s="250"/>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332"/>
      <c r="AS57" s="332"/>
    </row>
    <row r="58" spans="1:45" s="194" customFormat="1" ht="12.75">
      <c r="A58" s="18"/>
      <c r="B58" s="47"/>
      <c r="C58" s="254"/>
      <c r="D58" s="252"/>
      <c r="E58" s="252"/>
      <c r="F58" s="47"/>
      <c r="G58" s="47"/>
      <c r="H58" s="253"/>
      <c r="I58" s="253"/>
      <c r="J58" s="250"/>
      <c r="K58" s="250"/>
      <c r="L58" s="250"/>
      <c r="M58" s="250"/>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0"/>
      <c r="AK58" s="253"/>
      <c r="AL58" s="253"/>
      <c r="AM58" s="253"/>
      <c r="AN58" s="253"/>
      <c r="AO58" s="36"/>
      <c r="AP58" s="36"/>
      <c r="AQ58" s="36"/>
      <c r="AR58" s="36"/>
      <c r="AS58" s="36"/>
    </row>
    <row r="59" spans="1:40" ht="12.75">
      <c r="A59" s="18"/>
      <c r="B59" s="47"/>
      <c r="C59" s="252"/>
      <c r="D59" s="252"/>
      <c r="E59" s="252"/>
      <c r="F59" s="252"/>
      <c r="G59" s="252"/>
      <c r="H59" s="253"/>
      <c r="I59" s="253"/>
      <c r="J59" s="256"/>
      <c r="K59" s="256"/>
      <c r="L59" s="256"/>
      <c r="M59" s="256"/>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0"/>
      <c r="AK59" s="253"/>
      <c r="AL59" s="253"/>
      <c r="AM59" s="253"/>
      <c r="AN59" s="253"/>
    </row>
    <row r="60" spans="1:40" ht="12.75">
      <c r="A60" s="18"/>
      <c r="B60" s="47"/>
      <c r="C60" s="252"/>
      <c r="D60" s="252"/>
      <c r="E60" s="252"/>
      <c r="F60" s="252"/>
      <c r="G60" s="252"/>
      <c r="H60" s="253"/>
      <c r="I60" s="253"/>
      <c r="J60" s="256"/>
      <c r="K60" s="256"/>
      <c r="L60" s="256"/>
      <c r="M60" s="256"/>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0"/>
      <c r="AK60" s="253"/>
      <c r="AL60" s="253"/>
      <c r="AM60" s="253"/>
      <c r="AN60" s="253"/>
    </row>
    <row r="61" spans="1:40" ht="12.75">
      <c r="A61" s="18"/>
      <c r="B61" s="47"/>
      <c r="C61" s="252"/>
      <c r="D61" s="252"/>
      <c r="E61" s="252"/>
      <c r="F61" s="252"/>
      <c r="G61" s="252"/>
      <c r="H61" s="253"/>
      <c r="I61" s="253"/>
      <c r="J61" s="256"/>
      <c r="K61" s="256"/>
      <c r="L61" s="256"/>
      <c r="M61" s="256"/>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6"/>
      <c r="AK61" s="253"/>
      <c r="AL61" s="253"/>
      <c r="AM61" s="253"/>
      <c r="AN61" s="253"/>
    </row>
    <row r="62" spans="1:40" ht="12.75">
      <c r="A62" s="18"/>
      <c r="B62" s="47"/>
      <c r="C62" s="252"/>
      <c r="D62" s="252"/>
      <c r="E62" s="252"/>
      <c r="F62" s="252"/>
      <c r="G62" s="252"/>
      <c r="H62" s="253"/>
      <c r="I62" s="253"/>
      <c r="J62" s="256"/>
      <c r="K62" s="256"/>
      <c r="L62" s="256"/>
      <c r="M62" s="256"/>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6"/>
      <c r="AK62" s="253"/>
      <c r="AL62" s="253"/>
      <c r="AM62" s="253"/>
      <c r="AN62" s="253"/>
    </row>
    <row r="63" spans="1:40" ht="12.75">
      <c r="A63" s="18"/>
      <c r="B63" s="47"/>
      <c r="C63" s="252"/>
      <c r="D63" s="252"/>
      <c r="E63" s="252"/>
      <c r="F63" s="252"/>
      <c r="G63" s="252"/>
      <c r="H63" s="253"/>
      <c r="I63" s="253"/>
      <c r="J63" s="256"/>
      <c r="K63" s="256"/>
      <c r="L63" s="256"/>
      <c r="M63" s="256"/>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6"/>
      <c r="AK63" s="253"/>
      <c r="AL63" s="253"/>
      <c r="AM63" s="253"/>
      <c r="AN63" s="253"/>
    </row>
    <row r="64" spans="1:40" ht="12.75">
      <c r="A64" s="18"/>
      <c r="B64" s="47"/>
      <c r="C64" s="252"/>
      <c r="D64" s="252"/>
      <c r="E64" s="252"/>
      <c r="F64" s="252"/>
      <c r="G64" s="252"/>
      <c r="H64" s="253"/>
      <c r="I64" s="253"/>
      <c r="J64" s="256"/>
      <c r="K64" s="256"/>
      <c r="L64" s="256"/>
      <c r="M64" s="256"/>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6"/>
      <c r="AK64" s="253"/>
      <c r="AL64" s="253"/>
      <c r="AM64" s="253"/>
      <c r="AN64" s="253"/>
    </row>
    <row r="65" spans="1:40" ht="12.75">
      <c r="A65" s="18"/>
      <c r="B65" s="47"/>
      <c r="C65" s="257"/>
      <c r="D65" s="257"/>
      <c r="E65" s="257"/>
      <c r="F65" s="257"/>
      <c r="G65" s="257"/>
      <c r="H65" s="258"/>
      <c r="I65" s="258"/>
      <c r="J65" s="259"/>
      <c r="K65" s="259"/>
      <c r="L65" s="259"/>
      <c r="M65" s="259"/>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6"/>
      <c r="AK65" s="258"/>
      <c r="AL65" s="258"/>
      <c r="AM65" s="258"/>
      <c r="AN65" s="258"/>
    </row>
    <row r="66" spans="1:40" ht="12.75">
      <c r="A66" s="18"/>
      <c r="B66" s="257"/>
      <c r="C66" s="257"/>
      <c r="D66" s="257"/>
      <c r="E66" s="257"/>
      <c r="F66" s="257"/>
      <c r="G66" s="257"/>
      <c r="H66" s="258"/>
      <c r="I66" s="258"/>
      <c r="J66" s="259"/>
      <c r="K66" s="259"/>
      <c r="L66" s="259"/>
      <c r="M66" s="259"/>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6"/>
      <c r="AK66" s="258"/>
      <c r="AL66" s="258"/>
      <c r="AM66" s="258"/>
      <c r="AN66" s="258"/>
    </row>
    <row r="67" spans="1:40" ht="12.75">
      <c r="A67" s="18"/>
      <c r="B67" s="257"/>
      <c r="C67" s="257"/>
      <c r="D67" s="257"/>
      <c r="E67" s="257"/>
      <c r="F67" s="257"/>
      <c r="G67" s="257"/>
      <c r="H67" s="258"/>
      <c r="I67" s="258"/>
      <c r="J67" s="259"/>
      <c r="K67" s="259"/>
      <c r="L67" s="259"/>
      <c r="M67" s="259"/>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9"/>
      <c r="AK67" s="258"/>
      <c r="AL67" s="258"/>
      <c r="AM67" s="258"/>
      <c r="AN67" s="258"/>
    </row>
    <row r="68" spans="1:40" ht="12.75">
      <c r="A68" s="18"/>
      <c r="B68" s="257"/>
      <c r="C68" s="257"/>
      <c r="D68" s="257"/>
      <c r="E68" s="257"/>
      <c r="F68" s="257"/>
      <c r="G68" s="257"/>
      <c r="H68" s="258"/>
      <c r="I68" s="258"/>
      <c r="J68" s="259"/>
      <c r="K68" s="259"/>
      <c r="L68" s="259"/>
      <c r="M68" s="259"/>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9"/>
      <c r="AK68" s="258"/>
      <c r="AL68" s="258"/>
      <c r="AM68" s="258"/>
      <c r="AN68" s="258"/>
    </row>
    <row r="69" spans="1:40" ht="12.75">
      <c r="A69" s="18"/>
      <c r="B69" s="257"/>
      <c r="C69" s="257"/>
      <c r="D69" s="257"/>
      <c r="E69" s="257"/>
      <c r="F69" s="257"/>
      <c r="G69" s="257"/>
      <c r="H69" s="258"/>
      <c r="I69" s="258"/>
      <c r="J69" s="259"/>
      <c r="K69" s="259"/>
      <c r="L69" s="259"/>
      <c r="M69" s="259"/>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9"/>
      <c r="AK69" s="258"/>
      <c r="AL69" s="258"/>
      <c r="AM69" s="258"/>
      <c r="AN69" s="258"/>
    </row>
    <row r="70" spans="1:40" ht="12.75">
      <c r="A70" s="18"/>
      <c r="B70" s="257"/>
      <c r="C70" s="257"/>
      <c r="D70" s="257"/>
      <c r="E70" s="257"/>
      <c r="F70" s="257"/>
      <c r="G70" s="257"/>
      <c r="H70" s="258"/>
      <c r="I70" s="258"/>
      <c r="J70" s="259"/>
      <c r="K70" s="259"/>
      <c r="L70" s="259"/>
      <c r="M70" s="259"/>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9"/>
      <c r="AK70" s="258"/>
      <c r="AL70" s="258"/>
      <c r="AM70" s="258"/>
      <c r="AN70" s="258"/>
    </row>
    <row r="71" spans="1:40" ht="12.75">
      <c r="A71" s="18"/>
      <c r="B71" s="257"/>
      <c r="C71" s="257"/>
      <c r="D71" s="257"/>
      <c r="E71" s="257"/>
      <c r="F71" s="257"/>
      <c r="G71" s="257"/>
      <c r="H71" s="258"/>
      <c r="I71" s="258"/>
      <c r="J71" s="259"/>
      <c r="K71" s="259"/>
      <c r="L71" s="259"/>
      <c r="M71" s="259"/>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9"/>
      <c r="AK71" s="258"/>
      <c r="AL71" s="258"/>
      <c r="AM71" s="258"/>
      <c r="AN71" s="258"/>
    </row>
    <row r="72" spans="1:45" s="194" customFormat="1" ht="12.75">
      <c r="A72" s="18"/>
      <c r="B72" s="257"/>
      <c r="C72" s="257"/>
      <c r="D72" s="257"/>
      <c r="E72" s="257"/>
      <c r="F72" s="257"/>
      <c r="G72" s="257"/>
      <c r="H72" s="258"/>
      <c r="I72" s="258"/>
      <c r="J72" s="259"/>
      <c r="K72" s="259"/>
      <c r="L72" s="259"/>
      <c r="M72" s="259"/>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9"/>
      <c r="AK72" s="258"/>
      <c r="AL72" s="258"/>
      <c r="AM72" s="258"/>
      <c r="AN72" s="258"/>
      <c r="AO72" s="36"/>
      <c r="AP72" s="36"/>
      <c r="AQ72" s="36"/>
      <c r="AR72" s="36"/>
      <c r="AS72" s="36"/>
    </row>
    <row r="73" spans="1:40" ht="12.75">
      <c r="A73" s="18"/>
      <c r="B73" s="257"/>
      <c r="C73" s="257"/>
      <c r="D73" s="257"/>
      <c r="E73" s="257"/>
      <c r="F73" s="257"/>
      <c r="G73" s="257"/>
      <c r="H73" s="258"/>
      <c r="I73" s="258"/>
      <c r="J73" s="259"/>
      <c r="K73" s="259"/>
      <c r="L73" s="259"/>
      <c r="M73" s="259"/>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9"/>
      <c r="AK73" s="258"/>
      <c r="AL73" s="258"/>
      <c r="AM73" s="258"/>
      <c r="AN73" s="258"/>
    </row>
    <row r="74" spans="1:40" ht="12.75">
      <c r="A74" s="18"/>
      <c r="B74" s="257"/>
      <c r="C74" s="257"/>
      <c r="D74" s="257"/>
      <c r="E74" s="257"/>
      <c r="F74" s="257"/>
      <c r="G74" s="257"/>
      <c r="H74" s="258"/>
      <c r="I74" s="258"/>
      <c r="J74" s="259"/>
      <c r="K74" s="259"/>
      <c r="L74" s="259"/>
      <c r="M74" s="259"/>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9"/>
      <c r="AK74" s="258"/>
      <c r="AL74" s="258"/>
      <c r="AM74" s="258"/>
      <c r="AN74" s="258"/>
    </row>
    <row r="75" spans="1:40" ht="12.75">
      <c r="A75" s="18"/>
      <c r="B75" s="257"/>
      <c r="C75" s="257"/>
      <c r="D75" s="257"/>
      <c r="E75" s="257"/>
      <c r="F75" s="257"/>
      <c r="G75" s="257"/>
      <c r="H75" s="258"/>
      <c r="I75" s="258"/>
      <c r="J75" s="259"/>
      <c r="K75" s="259"/>
      <c r="L75" s="259"/>
      <c r="M75" s="259"/>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9"/>
      <c r="AK75" s="258"/>
      <c r="AL75" s="258"/>
      <c r="AM75" s="258"/>
      <c r="AN75" s="258"/>
    </row>
    <row r="76" spans="1:45" s="194" customFormat="1" ht="12.75">
      <c r="A76" s="18"/>
      <c r="B76" s="257"/>
      <c r="C76" s="257"/>
      <c r="D76" s="257"/>
      <c r="E76" s="257"/>
      <c r="F76" s="257"/>
      <c r="G76" s="257"/>
      <c r="H76" s="258"/>
      <c r="I76" s="258"/>
      <c r="J76" s="259"/>
      <c r="K76" s="259"/>
      <c r="L76" s="259"/>
      <c r="M76" s="259"/>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9"/>
      <c r="AK76" s="258"/>
      <c r="AL76" s="258"/>
      <c r="AM76" s="258"/>
      <c r="AN76" s="258"/>
      <c r="AO76" s="36"/>
      <c r="AP76" s="36"/>
      <c r="AQ76" s="36"/>
      <c r="AR76" s="36"/>
      <c r="AS76" s="36"/>
    </row>
    <row r="77" spans="1:40" ht="12.75">
      <c r="A77" s="18"/>
      <c r="B77" s="257"/>
      <c r="C77" s="257"/>
      <c r="D77" s="257"/>
      <c r="E77" s="257"/>
      <c r="F77" s="257"/>
      <c r="G77" s="257"/>
      <c r="H77" s="258"/>
      <c r="I77" s="258"/>
      <c r="J77" s="259"/>
      <c r="K77" s="259"/>
      <c r="L77" s="259"/>
      <c r="M77" s="259"/>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9"/>
      <c r="AK77" s="258"/>
      <c r="AL77" s="258"/>
      <c r="AM77" s="258"/>
      <c r="AN77" s="258"/>
    </row>
    <row r="78" spans="1:45" s="194" customFormat="1" ht="12.75">
      <c r="A78" s="18"/>
      <c r="B78" s="257"/>
      <c r="C78" s="257"/>
      <c r="D78" s="257"/>
      <c r="E78" s="257"/>
      <c r="F78" s="257"/>
      <c r="G78" s="257"/>
      <c r="H78" s="258"/>
      <c r="I78" s="258"/>
      <c r="J78" s="259"/>
      <c r="K78" s="259"/>
      <c r="L78" s="259"/>
      <c r="M78" s="259"/>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9"/>
      <c r="AK78" s="258"/>
      <c r="AL78" s="258"/>
      <c r="AM78" s="258"/>
      <c r="AN78" s="258"/>
      <c r="AO78" s="36"/>
      <c r="AP78" s="36"/>
      <c r="AQ78" s="36"/>
      <c r="AR78" s="36"/>
      <c r="AS78" s="36"/>
    </row>
    <row r="79" spans="1:40" ht="12.75">
      <c r="A79" s="18"/>
      <c r="B79" s="257"/>
      <c r="C79" s="257"/>
      <c r="D79" s="257"/>
      <c r="E79" s="257"/>
      <c r="F79" s="257"/>
      <c r="G79" s="257"/>
      <c r="H79" s="258"/>
      <c r="I79" s="258"/>
      <c r="J79" s="259"/>
      <c r="K79" s="259"/>
      <c r="L79" s="259"/>
      <c r="M79" s="259"/>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9"/>
      <c r="AK79" s="258"/>
      <c r="AL79" s="258"/>
      <c r="AM79" s="258"/>
      <c r="AN79" s="258"/>
    </row>
    <row r="80" spans="1:40" ht="12.75">
      <c r="A80" s="18"/>
      <c r="B80" s="257"/>
      <c r="C80" s="257"/>
      <c r="D80" s="257"/>
      <c r="E80" s="257"/>
      <c r="F80" s="257"/>
      <c r="G80" s="257"/>
      <c r="H80" s="258"/>
      <c r="I80" s="258"/>
      <c r="J80" s="259"/>
      <c r="K80" s="259"/>
      <c r="L80" s="259"/>
      <c r="M80" s="259"/>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9"/>
      <c r="AK80" s="258"/>
      <c r="AL80" s="258"/>
      <c r="AM80" s="258"/>
      <c r="AN80" s="258"/>
    </row>
    <row r="81" spans="1:40" ht="12.75">
      <c r="A81" s="18"/>
      <c r="B81" s="257"/>
      <c r="C81" s="257"/>
      <c r="D81" s="257"/>
      <c r="E81" s="257"/>
      <c r="F81" s="257"/>
      <c r="G81" s="257"/>
      <c r="H81" s="258"/>
      <c r="I81" s="258"/>
      <c r="J81" s="259"/>
      <c r="K81" s="259"/>
      <c r="L81" s="259"/>
      <c r="M81" s="259"/>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9"/>
      <c r="AK81" s="258"/>
      <c r="AL81" s="258"/>
      <c r="AM81" s="258"/>
      <c r="AN81" s="258"/>
    </row>
    <row r="82" spans="1:40" ht="12.75">
      <c r="A82" s="18"/>
      <c r="B82" s="257"/>
      <c r="C82" s="257"/>
      <c r="D82" s="257"/>
      <c r="E82" s="257"/>
      <c r="F82" s="257"/>
      <c r="G82" s="257"/>
      <c r="H82" s="258"/>
      <c r="I82" s="258"/>
      <c r="J82" s="259"/>
      <c r="K82" s="259"/>
      <c r="L82" s="259"/>
      <c r="M82" s="259"/>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9"/>
      <c r="AK82" s="258"/>
      <c r="AL82" s="258"/>
      <c r="AM82" s="258"/>
      <c r="AN82" s="258"/>
    </row>
    <row r="83" spans="1:36" ht="12.75">
      <c r="A83" s="18"/>
      <c r="AJ83" s="259"/>
    </row>
    <row r="84" spans="1:36" ht="12.75">
      <c r="A84" s="18"/>
      <c r="AJ84" s="259"/>
    </row>
  </sheetData>
  <sheetProtection/>
  <printOptions/>
  <pageMargins left="0.25" right="0.25" top="0.75" bottom="0.75" header="0.3" footer="0.3"/>
  <pageSetup fitToHeight="1" fitToWidth="1" horizontalDpi="600" verticalDpi="600" orientation="landscape" paperSize="9" scale="68" r:id="rId1"/>
  <headerFooter alignWithMargins="0">
    <oddFooter>&amp;CPage &amp;P of &amp;N&amp;R&amp;F&amp;A</oddFooter>
  </headerFooter>
  <ignoredErrors>
    <ignoredError sqref="AO5:AO9 AO10 AO15:AO20 AO25 AO41 AP5:AP10 AP42 AQ5:AQ9 AQ15:AQ21 AP38 AP25:AQ25 AP12:AP21 AP22:AP23 AO27 AP27:AQ27 AP40"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2:AS51"/>
  <sheetViews>
    <sheetView showGridLines="0" view="pageBreakPreview" zoomScaleSheetLayoutView="100" zoomScalePageLayoutView="0" workbookViewId="0" topLeftCell="A16">
      <selection activeCell="E32" sqref="E32"/>
    </sheetView>
  </sheetViews>
  <sheetFormatPr defaultColWidth="9.140625" defaultRowHeight="12.75" outlineLevelRow="1" outlineLevelCol="1"/>
  <cols>
    <col min="1" max="1" width="38.421875" style="1" customWidth="1"/>
    <col min="2" max="4" width="9.140625" style="1" hidden="1" customWidth="1" outlineLevel="1"/>
    <col min="5" max="5" width="5.7109375" style="1" customWidth="1" collapsed="1"/>
    <col min="6" max="8" width="9.140625" style="1" hidden="1" customWidth="1" outlineLevel="1"/>
    <col min="9" max="9" width="5.7109375" style="1" customWidth="1" collapsed="1"/>
    <col min="10" max="10" width="9.140625" style="310" hidden="1" customWidth="1" outlineLevel="1"/>
    <col min="11" max="12" width="9.140625" style="1" hidden="1" customWidth="1" outlineLevel="1"/>
    <col min="13" max="13" width="5.7109375" style="1" customWidth="1" collapsed="1"/>
    <col min="14" max="16" width="8.8515625" style="1" hidden="1" customWidth="1" outlineLevel="1"/>
    <col min="17" max="17" width="5.7109375" style="1" customWidth="1" collapsed="1"/>
    <col min="18" max="20" width="5.7109375" style="1" hidden="1" customWidth="1" outlineLevel="1"/>
    <col min="21" max="21" width="5.7109375" style="1" customWidth="1" collapsed="1"/>
    <col min="22" max="24" width="5.7109375" style="1" hidden="1" customWidth="1" outlineLevel="1"/>
    <col min="25" max="25" width="5.7109375" style="1" customWidth="1" collapsed="1"/>
    <col min="26" max="35" width="5.7109375" style="1" customWidth="1"/>
    <col min="36" max="36" width="8.8515625" style="50" customWidth="1"/>
    <col min="37" max="45" width="6.28125" style="1" customWidth="1"/>
    <col min="46" max="16384" width="9.140625" style="1" customWidth="1"/>
  </cols>
  <sheetData>
    <row r="2" ht="12.75">
      <c r="A2" s="1" t="s">
        <v>25</v>
      </c>
    </row>
    <row r="4" spans="1:45" ht="12.75">
      <c r="A4" s="2" t="s">
        <v>226</v>
      </c>
      <c r="B4" s="3" t="s">
        <v>6</v>
      </c>
      <c r="C4" s="4" t="s">
        <v>20</v>
      </c>
      <c r="D4" s="4" t="s">
        <v>21</v>
      </c>
      <c r="E4" s="3" t="s">
        <v>22</v>
      </c>
      <c r="F4" s="3" t="s">
        <v>0</v>
      </c>
      <c r="G4" s="3" t="s">
        <v>19</v>
      </c>
      <c r="H4" s="4" t="s">
        <v>18</v>
      </c>
      <c r="I4" s="3" t="s">
        <v>136</v>
      </c>
      <c r="J4" s="5" t="s">
        <v>160</v>
      </c>
      <c r="K4" s="3" t="s">
        <v>163</v>
      </c>
      <c r="L4" s="3" t="s">
        <v>164</v>
      </c>
      <c r="M4" s="3" t="s">
        <v>167</v>
      </c>
      <c r="N4" s="4" t="s">
        <v>172</v>
      </c>
      <c r="O4" s="4" t="s">
        <v>181</v>
      </c>
      <c r="P4" s="4" t="s">
        <v>183</v>
      </c>
      <c r="Q4" s="4" t="s">
        <v>185</v>
      </c>
      <c r="R4" s="4" t="s">
        <v>187</v>
      </c>
      <c r="S4" s="4" t="s">
        <v>202</v>
      </c>
      <c r="T4" s="4" t="s">
        <v>205</v>
      </c>
      <c r="U4" s="4" t="s">
        <v>206</v>
      </c>
      <c r="V4" s="4" t="s">
        <v>210</v>
      </c>
      <c r="W4" s="4" t="s">
        <v>211</v>
      </c>
      <c r="X4" s="4" t="s">
        <v>213</v>
      </c>
      <c r="Y4" s="4" t="s">
        <v>218</v>
      </c>
      <c r="Z4" s="4" t="s">
        <v>225</v>
      </c>
      <c r="AA4" s="4" t="s">
        <v>231</v>
      </c>
      <c r="AB4" s="4" t="s">
        <v>241</v>
      </c>
      <c r="AC4" s="4" t="s">
        <v>244</v>
      </c>
      <c r="AD4" s="4" t="s">
        <v>245</v>
      </c>
      <c r="AE4" s="4" t="s">
        <v>247</v>
      </c>
      <c r="AF4" s="4" t="s">
        <v>252</v>
      </c>
      <c r="AG4" s="4" t="s">
        <v>259</v>
      </c>
      <c r="AH4" s="4" t="s">
        <v>266</v>
      </c>
      <c r="AI4" s="4" t="s">
        <v>269</v>
      </c>
      <c r="AJ4" s="282"/>
      <c r="AK4" s="4">
        <v>2005</v>
      </c>
      <c r="AL4" s="4">
        <v>2006</v>
      </c>
      <c r="AM4" s="4">
        <v>2007</v>
      </c>
      <c r="AN4" s="4">
        <v>2008</v>
      </c>
      <c r="AO4" s="4">
        <v>2009</v>
      </c>
      <c r="AP4" s="4">
        <v>2010</v>
      </c>
      <c r="AQ4" s="4">
        <v>2011</v>
      </c>
      <c r="AR4" s="4">
        <v>2012</v>
      </c>
      <c r="AS4" s="4">
        <v>2013</v>
      </c>
    </row>
    <row r="5" spans="1:45" ht="12.75">
      <c r="A5" s="7" t="s">
        <v>157</v>
      </c>
      <c r="B5" s="21">
        <v>368.5924099999999</v>
      </c>
      <c r="C5" s="21">
        <v>912.28557</v>
      </c>
      <c r="D5" s="21">
        <v>1386.6619699999999</v>
      </c>
      <c r="E5" s="21">
        <v>1717.446</v>
      </c>
      <c r="F5" s="21">
        <v>390.27525000000026</v>
      </c>
      <c r="G5" s="21">
        <v>656.5988500000002</v>
      </c>
      <c r="H5" s="21">
        <v>1120.94985</v>
      </c>
      <c r="I5" s="21">
        <v>1677.844</v>
      </c>
      <c r="J5" s="21">
        <v>182.4</v>
      </c>
      <c r="K5" s="21">
        <v>324</v>
      </c>
      <c r="L5" s="21">
        <v>382</v>
      </c>
      <c r="M5" s="21">
        <v>402.4655999999999</v>
      </c>
      <c r="N5" s="23">
        <f>N7+N9</f>
        <v>398</v>
      </c>
      <c r="O5" s="23">
        <f>O7+O9</f>
        <v>1795</v>
      </c>
      <c r="P5" s="23">
        <f>P7+P9</f>
        <v>2199</v>
      </c>
      <c r="Q5" s="23">
        <v>2552.7953799999996</v>
      </c>
      <c r="R5" s="23">
        <v>287</v>
      </c>
      <c r="S5" s="23">
        <v>678</v>
      </c>
      <c r="T5" s="23">
        <v>1096</v>
      </c>
      <c r="U5" s="23">
        <v>1466.41956</v>
      </c>
      <c r="V5" s="23">
        <v>319.00955000000005</v>
      </c>
      <c r="W5" s="23">
        <f>W7+W9</f>
        <v>1114.8746</v>
      </c>
      <c r="X5" s="23">
        <f>X7+X9</f>
        <v>1689</v>
      </c>
      <c r="Y5" s="23">
        <f>Y7+Y9</f>
        <v>2506.33835</v>
      </c>
      <c r="Z5" s="23">
        <f>Z7+Z9</f>
        <v>481.60075</v>
      </c>
      <c r="AA5" s="23">
        <f>AA7+AA9</f>
        <v>1381.4015789999999</v>
      </c>
      <c r="AB5" s="23">
        <v>2432</v>
      </c>
      <c r="AC5" s="23">
        <v>3943.8604589999995</v>
      </c>
      <c r="AD5" s="23">
        <f>AD7+AD9</f>
        <v>975.51808</v>
      </c>
      <c r="AE5" s="23">
        <f>AE7+AE9</f>
        <v>1945.493449</v>
      </c>
      <c r="AF5" s="23">
        <v>2880.6055110000007</v>
      </c>
      <c r="AG5" s="23">
        <v>3793.7</v>
      </c>
      <c r="AH5" s="23">
        <v>931</v>
      </c>
      <c r="AI5" s="23">
        <v>2226.1800000000003</v>
      </c>
      <c r="AJ5" s="23"/>
      <c r="AK5" s="21">
        <v>2122.1082100000012</v>
      </c>
      <c r="AL5" s="21">
        <v>1717.446</v>
      </c>
      <c r="AM5" s="21">
        <v>1677.844</v>
      </c>
      <c r="AN5" s="21">
        <v>402.4655999999999</v>
      </c>
      <c r="AO5" s="21">
        <f>Q5</f>
        <v>2552.7953799999996</v>
      </c>
      <c r="AP5" s="21">
        <f>U5</f>
        <v>1466.41956</v>
      </c>
      <c r="AQ5" s="21">
        <f>Y5</f>
        <v>2506.33835</v>
      </c>
      <c r="AR5" s="21">
        <f>AC5</f>
        <v>3943.8604589999995</v>
      </c>
      <c r="AS5" s="21">
        <f>AG5</f>
        <v>3793.7</v>
      </c>
    </row>
    <row r="6" spans="1:45" s="15" customFormat="1" ht="12.75">
      <c r="A6" s="9" t="s">
        <v>137</v>
      </c>
      <c r="B6" s="10"/>
      <c r="C6" s="10"/>
      <c r="D6" s="10"/>
      <c r="E6" s="14"/>
      <c r="F6" s="10"/>
      <c r="G6" s="10"/>
      <c r="H6" s="12"/>
      <c r="I6" s="14"/>
      <c r="J6" s="311"/>
      <c r="K6" s="10"/>
      <c r="L6" s="14"/>
      <c r="M6" s="14"/>
      <c r="N6" s="235"/>
      <c r="O6" s="235"/>
      <c r="P6" s="235"/>
      <c r="Q6" s="235"/>
      <c r="R6" s="235"/>
      <c r="S6" s="235"/>
      <c r="T6" s="235"/>
      <c r="U6" s="235"/>
      <c r="V6" s="235"/>
      <c r="W6" s="235"/>
      <c r="X6" s="235"/>
      <c r="Y6" s="235"/>
      <c r="Z6" s="235"/>
      <c r="AA6" s="235"/>
      <c r="AB6" s="235"/>
      <c r="AC6" s="235"/>
      <c r="AD6" s="235"/>
      <c r="AE6" s="235"/>
      <c r="AF6" s="235"/>
      <c r="AG6" s="235"/>
      <c r="AH6" s="235"/>
      <c r="AI6" s="235"/>
      <c r="AJ6" s="235"/>
      <c r="AK6" s="14"/>
      <c r="AL6" s="14">
        <v>-0.19068877265217365</v>
      </c>
      <c r="AM6" s="14">
        <v>-0.023058658030587154</v>
      </c>
      <c r="AN6" s="14">
        <v>-0.7601293088034407</v>
      </c>
      <c r="AO6" s="14">
        <f>AO5/AN5-1</f>
        <v>5.3428908706731715</v>
      </c>
      <c r="AP6" s="14">
        <f>AP5/AO5-1</f>
        <v>-0.4255632192502635</v>
      </c>
      <c r="AQ6" s="14">
        <f>AQ5/AP5-1</f>
        <v>0.7091550183632302</v>
      </c>
      <c r="AR6" s="14">
        <f>AR5/AQ5-1</f>
        <v>0.5735546874586983</v>
      </c>
      <c r="AS6" s="14">
        <f>AS5/AR5-1</f>
        <v>-0.0380744857890013</v>
      </c>
    </row>
    <row r="7" spans="1:45" ht="12.75">
      <c r="A7" s="312" t="s">
        <v>29</v>
      </c>
      <c r="B7" s="21">
        <v>222.2471099999999</v>
      </c>
      <c r="C7" s="21">
        <v>637.8864199999999</v>
      </c>
      <c r="D7" s="21">
        <v>873.6062199999999</v>
      </c>
      <c r="E7" s="23">
        <v>974.85</v>
      </c>
      <c r="F7" s="21">
        <v>110.33825000000024</v>
      </c>
      <c r="G7" s="21">
        <v>123.64430000000027</v>
      </c>
      <c r="H7" s="21">
        <v>269.6474000000002</v>
      </c>
      <c r="I7" s="23">
        <v>536.837</v>
      </c>
      <c r="J7" s="23">
        <v>21.4</v>
      </c>
      <c r="K7" s="21">
        <v>29</v>
      </c>
      <c r="L7" s="21">
        <v>34</v>
      </c>
      <c r="M7" s="23">
        <v>34.792</v>
      </c>
      <c r="N7" s="23">
        <v>182</v>
      </c>
      <c r="O7" s="23">
        <v>1105</v>
      </c>
      <c r="P7" s="23">
        <v>1122</v>
      </c>
      <c r="Q7" s="23">
        <v>1140.34828</v>
      </c>
      <c r="R7" s="23">
        <v>57</v>
      </c>
      <c r="S7" s="23">
        <v>144</v>
      </c>
      <c r="T7" s="23">
        <v>206</v>
      </c>
      <c r="U7" s="23">
        <v>271.53576000000004</v>
      </c>
      <c r="V7" s="23">
        <v>47.46825</v>
      </c>
      <c r="W7" s="23">
        <v>553.2570000000001</v>
      </c>
      <c r="X7" s="23">
        <v>869</v>
      </c>
      <c r="Y7" s="23">
        <v>1407.54635</v>
      </c>
      <c r="Z7" s="23">
        <v>233.67705</v>
      </c>
      <c r="AA7" s="23">
        <v>867.4015789999999</v>
      </c>
      <c r="AB7" s="23">
        <v>1609</v>
      </c>
      <c r="AC7" s="23">
        <v>2823.679499</v>
      </c>
      <c r="AD7" s="23">
        <v>766.41303</v>
      </c>
      <c r="AE7" s="23">
        <v>1516.0820990000002</v>
      </c>
      <c r="AF7" s="23">
        <v>2237.3659610000004</v>
      </c>
      <c r="AG7" s="23">
        <v>2940.516641</v>
      </c>
      <c r="AH7" s="23">
        <v>681</v>
      </c>
      <c r="AI7" s="23">
        <v>1751.18</v>
      </c>
      <c r="AJ7" s="23"/>
      <c r="AK7" s="21">
        <v>1440.8681100000013</v>
      </c>
      <c r="AL7" s="21">
        <v>974.85</v>
      </c>
      <c r="AM7" s="21">
        <v>536.837</v>
      </c>
      <c r="AN7" s="23">
        <v>34.792</v>
      </c>
      <c r="AO7" s="23">
        <f>Q7</f>
        <v>1140.34828</v>
      </c>
      <c r="AP7" s="23">
        <f>U7</f>
        <v>271.53576000000004</v>
      </c>
      <c r="AQ7" s="23">
        <f>Y7</f>
        <v>1407.54635</v>
      </c>
      <c r="AR7" s="23">
        <f>AC7</f>
        <v>2823.679499</v>
      </c>
      <c r="AS7" s="23">
        <f>AG7</f>
        <v>2940.516641</v>
      </c>
    </row>
    <row r="8" spans="1:45" s="15" customFormat="1" ht="12.75">
      <c r="A8" s="9" t="s">
        <v>137</v>
      </c>
      <c r="B8" s="233"/>
      <c r="C8" s="233"/>
      <c r="D8" s="233"/>
      <c r="E8" s="313"/>
      <c r="F8" s="233"/>
      <c r="G8" s="233"/>
      <c r="H8" s="234"/>
      <c r="I8" s="313"/>
      <c r="J8" s="240"/>
      <c r="K8" s="233"/>
      <c r="L8" s="234"/>
      <c r="M8" s="313"/>
      <c r="N8" s="235"/>
      <c r="O8" s="235"/>
      <c r="P8" s="235"/>
      <c r="AJ8" s="235"/>
      <c r="AK8" s="14"/>
      <c r="AL8" s="14">
        <v>-0.3234287071562718</v>
      </c>
      <c r="AM8" s="14">
        <v>-0.44931322767605275</v>
      </c>
      <c r="AN8" s="14">
        <v>-0.935190756225819</v>
      </c>
      <c r="AO8" s="14">
        <f>AO7/AN7-1</f>
        <v>31.776163485858817</v>
      </c>
      <c r="AP8" s="14">
        <f>AP7/AO7-1</f>
        <v>-0.7618834835266293</v>
      </c>
      <c r="AQ8" s="14">
        <f>AQ7/AP7-1</f>
        <v>4.183650028268836</v>
      </c>
      <c r="AR8" s="14">
        <f>AR7/AQ7-1</f>
        <v>1.006100544397703</v>
      </c>
      <c r="AS8" s="14">
        <f>AS7/AR7-1</f>
        <v>0.041377621660453334</v>
      </c>
    </row>
    <row r="9" spans="1:45" ht="12.75">
      <c r="A9" s="312" t="s">
        <v>30</v>
      </c>
      <c r="B9" s="21">
        <v>146.3453</v>
      </c>
      <c r="C9" s="21">
        <v>274.39915</v>
      </c>
      <c r="D9" s="21">
        <v>513.05575</v>
      </c>
      <c r="E9" s="23">
        <v>742.596</v>
      </c>
      <c r="F9" s="21">
        <v>279.937</v>
      </c>
      <c r="G9" s="21">
        <v>532.9545499999999</v>
      </c>
      <c r="H9" s="21">
        <v>851.3024499999999</v>
      </c>
      <c r="I9" s="23">
        <v>1141.007</v>
      </c>
      <c r="J9" s="23">
        <v>161</v>
      </c>
      <c r="K9" s="21">
        <v>295</v>
      </c>
      <c r="L9" s="21">
        <v>348</v>
      </c>
      <c r="M9" s="23">
        <v>367.67359999999985</v>
      </c>
      <c r="N9" s="23">
        <v>216</v>
      </c>
      <c r="O9" s="23">
        <v>690</v>
      </c>
      <c r="P9" s="23">
        <v>1077</v>
      </c>
      <c r="Q9" s="23">
        <v>1412.4470999999999</v>
      </c>
      <c r="R9" s="23">
        <v>229.95560000000003</v>
      </c>
      <c r="S9" s="23">
        <v>534</v>
      </c>
      <c r="T9" s="23">
        <v>890</v>
      </c>
      <c r="U9" s="23">
        <v>1194.8838</v>
      </c>
      <c r="V9" s="23">
        <v>271.54130000000004</v>
      </c>
      <c r="W9" s="23">
        <v>561.6176</v>
      </c>
      <c r="X9" s="23">
        <v>820</v>
      </c>
      <c r="Y9" s="23">
        <v>1098.7920000000001</v>
      </c>
      <c r="Z9" s="23">
        <v>247.9237</v>
      </c>
      <c r="AA9" s="23">
        <v>514</v>
      </c>
      <c r="AB9" s="23">
        <v>824</v>
      </c>
      <c r="AC9" s="23">
        <v>1120.18096</v>
      </c>
      <c r="AD9" s="23">
        <v>209.10505</v>
      </c>
      <c r="AE9" s="23">
        <v>429.41134999999997</v>
      </c>
      <c r="AF9" s="23">
        <v>643.23955</v>
      </c>
      <c r="AG9" s="23">
        <v>853.1360999999999</v>
      </c>
      <c r="AH9" s="23">
        <v>250</v>
      </c>
      <c r="AI9" s="23">
        <v>475</v>
      </c>
      <c r="AJ9" s="23"/>
      <c r="AK9" s="21">
        <v>681.2401000000001</v>
      </c>
      <c r="AL9" s="21">
        <v>742.596</v>
      </c>
      <c r="AM9" s="21">
        <v>1141.007</v>
      </c>
      <c r="AN9" s="21">
        <v>367.67359999999985</v>
      </c>
      <c r="AO9" s="21">
        <f>Q9</f>
        <v>1412.4470999999999</v>
      </c>
      <c r="AP9" s="21">
        <f>U9</f>
        <v>1194.8838</v>
      </c>
      <c r="AQ9" s="21">
        <f>Y9</f>
        <v>1098.7920000000001</v>
      </c>
      <c r="AR9" s="21">
        <f>AC9</f>
        <v>1120.18096</v>
      </c>
      <c r="AS9" s="21">
        <f>AG9</f>
        <v>853.1360999999999</v>
      </c>
    </row>
    <row r="10" spans="1:45" s="15" customFormat="1" ht="12.75">
      <c r="A10" s="9" t="s">
        <v>137</v>
      </c>
      <c r="B10" s="10"/>
      <c r="C10" s="10"/>
      <c r="D10" s="10"/>
      <c r="E10" s="314"/>
      <c r="F10" s="10"/>
      <c r="G10" s="10"/>
      <c r="H10" s="12"/>
      <c r="I10" s="314"/>
      <c r="J10" s="24"/>
      <c r="K10" s="10"/>
      <c r="L10" s="14"/>
      <c r="M10" s="314"/>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14"/>
      <c r="AL10" s="14">
        <v>0.09006501525673527</v>
      </c>
      <c r="AM10" s="14">
        <v>0.5365111042881998</v>
      </c>
      <c r="AN10" s="14">
        <v>-0.6777639400985271</v>
      </c>
      <c r="AO10" s="14">
        <f>AO9/AN9-1</f>
        <v>2.8415787807446615</v>
      </c>
      <c r="AP10" s="14">
        <f>AP9/AO9-1</f>
        <v>-0.15403288378021363</v>
      </c>
      <c r="AQ10" s="14">
        <f>AQ9/AP9-1</f>
        <v>-0.08041936797536287</v>
      </c>
      <c r="AR10" s="14">
        <f>AR9/AQ9-1</f>
        <v>0.019465886173179126</v>
      </c>
      <c r="AS10" s="14">
        <f>AS9/AR9-1</f>
        <v>-0.23839439299164666</v>
      </c>
    </row>
    <row r="11" spans="1:45" ht="12.75">
      <c r="A11" s="18"/>
      <c r="B11" s="19"/>
      <c r="C11" s="19"/>
      <c r="D11" s="19"/>
      <c r="E11" s="19"/>
      <c r="F11" s="19"/>
      <c r="G11" s="19"/>
      <c r="H11" s="19"/>
      <c r="I11" s="19"/>
      <c r="J11" s="44"/>
      <c r="K11" s="19"/>
      <c r="L11" s="19"/>
      <c r="M11" s="19"/>
      <c r="N11" s="44"/>
      <c r="O11" s="44"/>
      <c r="P11" s="44"/>
      <c r="Q11" s="44"/>
      <c r="R11" s="44"/>
      <c r="S11" s="44"/>
      <c r="T11" s="44"/>
      <c r="U11" s="44"/>
      <c r="V11" s="44"/>
      <c r="W11" s="44"/>
      <c r="X11" s="44"/>
      <c r="Y11" s="44"/>
      <c r="Z11" s="44"/>
      <c r="AA11" s="44"/>
      <c r="AB11" s="44"/>
      <c r="AC11" s="44"/>
      <c r="AD11" s="44"/>
      <c r="AE11" s="44"/>
      <c r="AF11" s="44"/>
      <c r="AG11" s="44"/>
      <c r="AH11" s="44"/>
      <c r="AI11" s="44"/>
      <c r="AJ11" s="44"/>
      <c r="AK11" s="19"/>
      <c r="AL11" s="19"/>
      <c r="AM11" s="19"/>
      <c r="AN11" s="19"/>
      <c r="AO11" s="19"/>
      <c r="AP11" s="19"/>
      <c r="AQ11" s="19"/>
      <c r="AR11" s="19"/>
      <c r="AS11" s="19"/>
    </row>
    <row r="12" spans="1:45" ht="12.75">
      <c r="A12" s="20" t="s">
        <v>227</v>
      </c>
      <c r="B12" s="3" t="s">
        <v>6</v>
      </c>
      <c r="C12" s="4" t="s">
        <v>20</v>
      </c>
      <c r="D12" s="4" t="s">
        <v>21</v>
      </c>
      <c r="E12" s="3" t="s">
        <v>22</v>
      </c>
      <c r="F12" s="3" t="s">
        <v>0</v>
      </c>
      <c r="G12" s="3" t="s">
        <v>19</v>
      </c>
      <c r="H12" s="4" t="s">
        <v>18</v>
      </c>
      <c r="I12" s="3" t="s">
        <v>136</v>
      </c>
      <c r="J12" s="5" t="s">
        <v>160</v>
      </c>
      <c r="K12" s="3" t="s">
        <v>163</v>
      </c>
      <c r="L12" s="3" t="s">
        <v>164</v>
      </c>
      <c r="M12" s="3" t="s">
        <v>167</v>
      </c>
      <c r="N12" s="4" t="s">
        <v>172</v>
      </c>
      <c r="O12" s="4" t="s">
        <v>181</v>
      </c>
      <c r="P12" s="4" t="s">
        <v>183</v>
      </c>
      <c r="Q12" s="4" t="s">
        <v>185</v>
      </c>
      <c r="R12" s="4" t="s">
        <v>187</v>
      </c>
      <c r="S12" s="4" t="s">
        <v>202</v>
      </c>
      <c r="T12" s="4" t="s">
        <v>205</v>
      </c>
      <c r="U12" s="4" t="s">
        <v>206</v>
      </c>
      <c r="V12" s="4" t="s">
        <v>210</v>
      </c>
      <c r="W12" s="4" t="s">
        <v>211</v>
      </c>
      <c r="X12" s="4" t="s">
        <v>213</v>
      </c>
      <c r="Y12" s="4" t="s">
        <v>218</v>
      </c>
      <c r="Z12" s="4" t="s">
        <v>225</v>
      </c>
      <c r="AA12" s="4" t="s">
        <v>231</v>
      </c>
      <c r="AB12" s="4" t="s">
        <v>241</v>
      </c>
      <c r="AC12" s="4" t="s">
        <v>244</v>
      </c>
      <c r="AD12" s="4" t="s">
        <v>245</v>
      </c>
      <c r="AE12" s="4" t="s">
        <v>247</v>
      </c>
      <c r="AF12" s="4" t="s">
        <v>252</v>
      </c>
      <c r="AG12" s="4" t="s">
        <v>259</v>
      </c>
      <c r="AH12" s="4" t="s">
        <v>266</v>
      </c>
      <c r="AI12" s="4" t="s">
        <v>269</v>
      </c>
      <c r="AJ12" s="282"/>
      <c r="AK12" s="4">
        <v>2005</v>
      </c>
      <c r="AL12" s="4">
        <v>2006</v>
      </c>
      <c r="AM12" s="4">
        <v>2007</v>
      </c>
      <c r="AN12" s="4">
        <v>2008</v>
      </c>
      <c r="AO12" s="4">
        <v>2009</v>
      </c>
      <c r="AP12" s="4">
        <v>2010</v>
      </c>
      <c r="AQ12" s="4">
        <v>2011</v>
      </c>
      <c r="AR12" s="4">
        <v>2012</v>
      </c>
      <c r="AS12" s="4">
        <v>2013</v>
      </c>
    </row>
    <row r="13" spans="1:45" ht="12.75">
      <c r="A13" s="7" t="s">
        <v>23</v>
      </c>
      <c r="B13" s="21">
        <v>25.363202724503306</v>
      </c>
      <c r="C13" s="21">
        <v>29.17338515082501</v>
      </c>
      <c r="D13" s="21">
        <v>32.241182840808456</v>
      </c>
      <c r="E13" s="21">
        <v>32.698820387231585</v>
      </c>
      <c r="F13" s="21">
        <v>38.40346602524119</v>
      </c>
      <c r="G13" s="21">
        <v>33.915058377037006</v>
      </c>
      <c r="H13" s="22">
        <v>38.569002535523055</v>
      </c>
      <c r="I13" s="21">
        <v>41.15641424030388</v>
      </c>
      <c r="J13" s="21">
        <v>47.78996147557706</v>
      </c>
      <c r="K13" s="21">
        <v>55.688821085113</v>
      </c>
      <c r="L13" s="21">
        <v>57.70808470118982</v>
      </c>
      <c r="M13" s="21">
        <v>55.87654523273336</v>
      </c>
      <c r="N13" s="23">
        <v>32.72445194840246</v>
      </c>
      <c r="O13" s="23">
        <v>33.32894153694616</v>
      </c>
      <c r="P13" s="23">
        <v>31.64657206566183</v>
      </c>
      <c r="Q13" s="23">
        <v>30.66019284484693</v>
      </c>
      <c r="R13" s="23">
        <v>39.102088690320244</v>
      </c>
      <c r="S13" s="23">
        <v>52.6065210791879</v>
      </c>
      <c r="T13" s="23">
        <v>54.03275515416945</v>
      </c>
      <c r="U13" s="23">
        <v>55.114946219076764</v>
      </c>
      <c r="V13" s="23">
        <v>65.85714401965666</v>
      </c>
      <c r="W13" s="23">
        <v>89.32454443772379</v>
      </c>
      <c r="X13" s="23">
        <v>83.24871893254348</v>
      </c>
      <c r="Y13" s="23">
        <v>91.90650366554598</v>
      </c>
      <c r="Z13" s="23">
        <v>77.8617209538904</v>
      </c>
      <c r="AA13" s="23">
        <v>86.10359416907798</v>
      </c>
      <c r="AB13" s="23">
        <v>84.30825585820698</v>
      </c>
      <c r="AC13" s="23">
        <v>82.35341162499535</v>
      </c>
      <c r="AD13" s="23">
        <v>86.40888320252189</v>
      </c>
      <c r="AE13" s="23">
        <v>88.78989938671165</v>
      </c>
      <c r="AF13" s="23">
        <v>85.0420158603642</v>
      </c>
      <c r="AG13" s="23">
        <v>86.05029958523372</v>
      </c>
      <c r="AH13" s="23">
        <v>85.88452448780099</v>
      </c>
      <c r="AI13" s="23">
        <v>84.02014565877147</v>
      </c>
      <c r="AJ13" s="23"/>
      <c r="AK13" s="21">
        <v>36.47403629877551</v>
      </c>
      <c r="AL13" s="21">
        <v>32.698820387231585</v>
      </c>
      <c r="AM13" s="21">
        <v>41.15641424030388</v>
      </c>
      <c r="AN13" s="21">
        <v>55.87654523273336</v>
      </c>
      <c r="AO13" s="21">
        <f>Q13</f>
        <v>30.66019284484693</v>
      </c>
      <c r="AP13" s="21">
        <f>U13</f>
        <v>55.114946219076764</v>
      </c>
      <c r="AQ13" s="21">
        <f>Y13</f>
        <v>91.90650366554598</v>
      </c>
      <c r="AR13" s="21">
        <f>AC13</f>
        <v>82.35341162499535</v>
      </c>
      <c r="AS13" s="21">
        <f>AG13</f>
        <v>86.05029958523372</v>
      </c>
    </row>
    <row r="14" spans="1:45" s="15" customFormat="1" ht="12.75">
      <c r="A14" s="9" t="s">
        <v>137</v>
      </c>
      <c r="B14" s="10"/>
      <c r="C14" s="10"/>
      <c r="D14" s="10"/>
      <c r="E14" s="14"/>
      <c r="F14" s="10"/>
      <c r="G14" s="10"/>
      <c r="H14" s="12"/>
      <c r="I14" s="14"/>
      <c r="J14" s="315"/>
      <c r="K14" s="14"/>
      <c r="L14" s="14"/>
      <c r="M14" s="14"/>
      <c r="W14" s="1"/>
      <c r="X14" s="1"/>
      <c r="Y14" s="1"/>
      <c r="Z14" s="1"/>
      <c r="AA14" s="1"/>
      <c r="AB14" s="1"/>
      <c r="AC14" s="1"/>
      <c r="AD14" s="1"/>
      <c r="AE14" s="1"/>
      <c r="AF14" s="1"/>
      <c r="AG14" s="1"/>
      <c r="AH14" s="1"/>
      <c r="AI14" s="1"/>
      <c r="AJ14" s="316"/>
      <c r="AK14" s="14"/>
      <c r="AL14" s="14">
        <v>-0.10350419900389973</v>
      </c>
      <c r="AM14" s="14">
        <v>0.25865134438840065</v>
      </c>
      <c r="AN14" s="14">
        <v>0.3576631070549938</v>
      </c>
      <c r="AO14" s="14">
        <f>AO13/AN13-1</f>
        <v>-0.45128689117870335</v>
      </c>
      <c r="AP14" s="14">
        <f>AP13/AO13-1</f>
        <v>0.7976059869545131</v>
      </c>
      <c r="AQ14" s="14">
        <f>AQ13/AP13-1</f>
        <v>0.6675422906197934</v>
      </c>
      <c r="AR14" s="14">
        <f>AR13/AQ13-1</f>
        <v>-0.10394359114470275</v>
      </c>
      <c r="AS14" s="14">
        <f>AS13/AR13-1</f>
        <v>0.04489052593318821</v>
      </c>
    </row>
    <row r="15" spans="1:45" ht="12.75">
      <c r="A15" s="312" t="s">
        <v>29</v>
      </c>
      <c r="B15" s="21">
        <v>30.128741978212854</v>
      </c>
      <c r="C15" s="21">
        <v>33.396039055175315</v>
      </c>
      <c r="D15" s="21">
        <v>38.00658133229873</v>
      </c>
      <c r="E15" s="21">
        <v>39.413760226366605</v>
      </c>
      <c r="F15" s="21">
        <v>64.79837917466402</v>
      </c>
      <c r="G15" s="21">
        <v>60.69619276116761</v>
      </c>
      <c r="H15" s="22">
        <v>64.25631239150857</v>
      </c>
      <c r="I15" s="21">
        <v>62.70492963188649</v>
      </c>
      <c r="J15" s="23">
        <v>68.45436859834756</v>
      </c>
      <c r="K15" s="21">
        <v>77.7008444617536</v>
      </c>
      <c r="L15" s="21">
        <v>79.59986563730808</v>
      </c>
      <c r="M15" s="21">
        <v>78.1047</v>
      </c>
      <c r="N15" s="21">
        <v>45.57255316152837</v>
      </c>
      <c r="O15" s="21">
        <v>40.682151063944815</v>
      </c>
      <c r="P15" s="21">
        <v>41.51008589838559</v>
      </c>
      <c r="Q15" s="21">
        <v>42.60955006111823</v>
      </c>
      <c r="R15" s="21">
        <v>67.58598843392896</v>
      </c>
      <c r="S15" s="21">
        <v>79.24134468617751</v>
      </c>
      <c r="T15" s="21">
        <v>83.88162360026409</v>
      </c>
      <c r="U15" s="21">
        <v>84.47071249385718</v>
      </c>
      <c r="V15" s="21">
        <v>92.50408947210975</v>
      </c>
      <c r="W15" s="21">
        <v>115.63801677316282</v>
      </c>
      <c r="X15" s="21">
        <v>110.91845729813491</v>
      </c>
      <c r="Y15" s="21">
        <v>115.10417010497807</v>
      </c>
      <c r="Z15" s="21">
        <v>96.19216603560507</v>
      </c>
      <c r="AA15" s="21">
        <v>101.31990048047517</v>
      </c>
      <c r="AB15" s="21">
        <v>96.78005317810876</v>
      </c>
      <c r="AC15" s="21">
        <v>91.94817141176354</v>
      </c>
      <c r="AD15" s="21">
        <v>92.52482865843474</v>
      </c>
      <c r="AE15" s="21">
        <v>95.78972275522482</v>
      </c>
      <c r="AF15" s="21">
        <v>91.8908819579394</v>
      </c>
      <c r="AG15" s="21">
        <v>93.07594006046943</v>
      </c>
      <c r="AH15" s="21">
        <v>94.90547102134725</v>
      </c>
      <c r="AI15" s="21">
        <v>90.23138626658468</v>
      </c>
      <c r="AK15" s="21">
        <v>44.76072573026624</v>
      </c>
      <c r="AL15" s="21">
        <v>39.413760226366605</v>
      </c>
      <c r="AM15" s="21">
        <v>62.70492963188649</v>
      </c>
      <c r="AN15" s="21">
        <v>78.1047</v>
      </c>
      <c r="AO15" s="21">
        <f>Q15</f>
        <v>42.60955006111823</v>
      </c>
      <c r="AP15" s="21">
        <f>U15</f>
        <v>84.47071249385718</v>
      </c>
      <c r="AQ15" s="21">
        <f>Y15</f>
        <v>115.10417010497807</v>
      </c>
      <c r="AR15" s="21">
        <f>AC15</f>
        <v>91.94817141176354</v>
      </c>
      <c r="AS15" s="21">
        <f>AG15</f>
        <v>93.07594006046943</v>
      </c>
    </row>
    <row r="16" spans="1:45" s="15" customFormat="1" ht="12.75">
      <c r="A16" s="9" t="s">
        <v>137</v>
      </c>
      <c r="B16" s="10"/>
      <c r="C16" s="10"/>
      <c r="D16" s="10"/>
      <c r="E16" s="14"/>
      <c r="F16" s="10"/>
      <c r="G16" s="10"/>
      <c r="H16" s="12"/>
      <c r="I16" s="14"/>
      <c r="J16" s="315"/>
      <c r="K16" s="14"/>
      <c r="L16" s="14"/>
      <c r="M16" s="14"/>
      <c r="N16" s="240"/>
      <c r="O16" s="240"/>
      <c r="P16" s="240"/>
      <c r="Q16" s="240"/>
      <c r="R16" s="240"/>
      <c r="S16" s="240"/>
      <c r="T16" s="240"/>
      <c r="U16" s="240"/>
      <c r="V16" s="240"/>
      <c r="W16" s="212"/>
      <c r="X16" s="212"/>
      <c r="Y16" s="212"/>
      <c r="Z16" s="212"/>
      <c r="AA16" s="212"/>
      <c r="AB16" s="212"/>
      <c r="AC16" s="212"/>
      <c r="AD16" s="212"/>
      <c r="AE16" s="212"/>
      <c r="AF16" s="212"/>
      <c r="AG16" s="212"/>
      <c r="AH16" s="212"/>
      <c r="AI16" s="212"/>
      <c r="AJ16" s="240"/>
      <c r="AK16" s="14"/>
      <c r="AL16" s="14">
        <v>-0.11945663115743743</v>
      </c>
      <c r="AM16" s="14">
        <v>0.5909400491541734</v>
      </c>
      <c r="AN16" s="14">
        <v>0.24559106370932704</v>
      </c>
      <c r="AO16" s="14">
        <f>AO15/AN15-1</f>
        <v>-0.454456005066043</v>
      </c>
      <c r="AP16" s="14">
        <f>AP15/AO15-1</f>
        <v>0.9824361527566987</v>
      </c>
      <c r="AQ16" s="14">
        <f>AQ15/AP15-1</f>
        <v>0.36265181986417594</v>
      </c>
      <c r="AR16" s="14">
        <f>AR15/AQ15-1</f>
        <v>-0.2011742812801277</v>
      </c>
      <c r="AS16" s="14">
        <f>AS15/AR15-1</f>
        <v>0.012265264565790135</v>
      </c>
    </row>
    <row r="17" spans="1:45" ht="12.75">
      <c r="A17" s="312" t="s">
        <v>30</v>
      </c>
      <c r="B17" s="21">
        <v>18.126022393269547</v>
      </c>
      <c r="C17" s="21">
        <v>19.35712448841028</v>
      </c>
      <c r="D17" s="21">
        <v>22.424144472279274</v>
      </c>
      <c r="E17" s="21">
        <v>23.883718902466278</v>
      </c>
      <c r="F17" s="21">
        <v>27.999809038814565</v>
      </c>
      <c r="G17" s="21">
        <v>27.701893269183497</v>
      </c>
      <c r="H17" s="22">
        <v>30.432627131386873</v>
      </c>
      <c r="I17" s="21">
        <v>31.0179660473734</v>
      </c>
      <c r="J17" s="23">
        <v>45.04326388286099</v>
      </c>
      <c r="K17" s="21">
        <v>53.52492726164663</v>
      </c>
      <c r="L17" s="21">
        <v>55.56923254076447</v>
      </c>
      <c r="M17" s="21">
        <v>53.773150004559064</v>
      </c>
      <c r="N17" s="23">
        <v>21.898737037342674</v>
      </c>
      <c r="O17" s="23">
        <v>21.55314946834688</v>
      </c>
      <c r="P17" s="23">
        <v>21.370933699537343</v>
      </c>
      <c r="Q17" s="23">
        <v>21.012694809047158</v>
      </c>
      <c r="R17" s="23">
        <v>32.06583255765502</v>
      </c>
      <c r="S17" s="23">
        <v>45.42409673573003</v>
      </c>
      <c r="T17" s="23">
        <v>47.12391594080373</v>
      </c>
      <c r="U17" s="23">
        <v>48.443887237605196</v>
      </c>
      <c r="V17" s="23">
        <v>61.198980165858345</v>
      </c>
      <c r="W17" s="212">
        <v>63.40279133759304</v>
      </c>
      <c r="X17" s="212">
        <v>59.24945606442848</v>
      </c>
      <c r="Y17" s="212">
        <v>62.19042389308663</v>
      </c>
      <c r="Z17" s="212">
        <v>60.584613795994265</v>
      </c>
      <c r="AA17" s="212">
        <v>60.425620148795765</v>
      </c>
      <c r="AB17" s="212">
        <v>59.9549525964085</v>
      </c>
      <c r="AC17" s="212">
        <v>58.167563556548494</v>
      </c>
      <c r="AD17" s="212">
        <v>63.9926847980314</v>
      </c>
      <c r="AE17" s="212">
        <v>64.07628409646675</v>
      </c>
      <c r="AF17" s="212">
        <v>61.219755742556416</v>
      </c>
      <c r="AG17" s="212">
        <v>61.83492207264952</v>
      </c>
      <c r="AH17" s="212">
        <v>61.311466130420996</v>
      </c>
      <c r="AI17" s="212">
        <v>61.121197600686635</v>
      </c>
      <c r="AJ17" s="23"/>
      <c r="AK17" s="21">
        <v>18.947137134576217</v>
      </c>
      <c r="AL17" s="21">
        <v>23.883718902466278</v>
      </c>
      <c r="AM17" s="21">
        <v>31.0179660473734</v>
      </c>
      <c r="AN17" s="21">
        <v>53.773150004559064</v>
      </c>
      <c r="AO17" s="21">
        <f>Q17</f>
        <v>21.012694809047158</v>
      </c>
      <c r="AP17" s="21">
        <f>R17</f>
        <v>32.06583255765502</v>
      </c>
      <c r="AQ17" s="21">
        <f>Y17</f>
        <v>62.19042389308663</v>
      </c>
      <c r="AR17" s="21">
        <f>AC17</f>
        <v>58.167563556548494</v>
      </c>
      <c r="AS17" s="21">
        <f>AG17</f>
        <v>61.83492207264952</v>
      </c>
    </row>
    <row r="18" spans="1:45" s="15" customFormat="1" ht="12.75">
      <c r="A18" s="9" t="s">
        <v>137</v>
      </c>
      <c r="B18" s="10"/>
      <c r="C18" s="10"/>
      <c r="D18" s="10"/>
      <c r="E18" s="14"/>
      <c r="F18" s="10"/>
      <c r="G18" s="10"/>
      <c r="H18" s="12"/>
      <c r="I18" s="14"/>
      <c r="J18" s="317"/>
      <c r="K18" s="14"/>
      <c r="L18" s="14"/>
      <c r="M18" s="14"/>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14"/>
      <c r="AL18" s="14">
        <v>0.26054499594460645</v>
      </c>
      <c r="AM18" s="14">
        <v>0.29870754944157474</v>
      </c>
      <c r="AN18" s="14">
        <v>0.733613026799756</v>
      </c>
      <c r="AO18" s="14">
        <f>AO17/AN17-1</f>
        <v>-0.6092344449364482</v>
      </c>
      <c r="AP18" s="14">
        <f>AP17/AO17-1</f>
        <v>0.5260219048081762</v>
      </c>
      <c r="AQ18" s="14">
        <f>AQ17/AP17-1</f>
        <v>0.9394607572177327</v>
      </c>
      <c r="AR18" s="14">
        <f>AR17/AQ17-1</f>
        <v>-0.06468617006782196</v>
      </c>
      <c r="AS18" s="14">
        <f>AS17/AR17-1</f>
        <v>0.06304817138396634</v>
      </c>
    </row>
    <row r="19" spans="1:45" ht="12.75">
      <c r="A19" s="18"/>
      <c r="B19" s="27"/>
      <c r="C19" s="27"/>
      <c r="D19" s="27"/>
      <c r="E19" s="19"/>
      <c r="F19" s="27"/>
      <c r="G19" s="27"/>
      <c r="H19" s="28"/>
      <c r="I19" s="19"/>
      <c r="J19" s="26"/>
      <c r="K19" s="27"/>
      <c r="L19" s="19"/>
      <c r="M19" s="19"/>
      <c r="N19" s="44"/>
      <c r="O19" s="44"/>
      <c r="P19" s="44"/>
      <c r="Q19" s="44"/>
      <c r="R19" s="44"/>
      <c r="S19" s="44"/>
      <c r="T19" s="44"/>
      <c r="U19" s="44"/>
      <c r="V19" s="44"/>
      <c r="W19" s="44"/>
      <c r="X19" s="44"/>
      <c r="Y19" s="44"/>
      <c r="Z19" s="44"/>
      <c r="AA19" s="44"/>
      <c r="AB19" s="44"/>
      <c r="AC19" s="44"/>
      <c r="AD19" s="44"/>
      <c r="AE19" s="44"/>
      <c r="AF19" s="44"/>
      <c r="AG19" s="44"/>
      <c r="AH19" s="44"/>
      <c r="AI19" s="44"/>
      <c r="AJ19" s="44"/>
      <c r="AK19" s="19"/>
      <c r="AL19" s="19"/>
      <c r="AM19" s="19"/>
      <c r="AN19" s="19"/>
      <c r="AO19" s="19"/>
      <c r="AP19" s="19"/>
      <c r="AQ19" s="19"/>
      <c r="AR19" s="19"/>
      <c r="AS19" s="19"/>
    </row>
    <row r="20" spans="1:45" ht="12.75">
      <c r="A20" s="2" t="s">
        <v>1</v>
      </c>
      <c r="B20" s="3" t="s">
        <v>6</v>
      </c>
      <c r="C20" s="4" t="s">
        <v>20</v>
      </c>
      <c r="D20" s="4" t="s">
        <v>21</v>
      </c>
      <c r="E20" s="3" t="s">
        <v>22</v>
      </c>
      <c r="F20" s="3" t="s">
        <v>0</v>
      </c>
      <c r="G20" s="3" t="s">
        <v>19</v>
      </c>
      <c r="H20" s="4" t="s">
        <v>18</v>
      </c>
      <c r="I20" s="3" t="s">
        <v>136</v>
      </c>
      <c r="J20" s="5" t="s">
        <v>160</v>
      </c>
      <c r="K20" s="3" t="s">
        <v>163</v>
      </c>
      <c r="L20" s="3" t="s">
        <v>164</v>
      </c>
      <c r="M20" s="3" t="s">
        <v>167</v>
      </c>
      <c r="N20" s="4" t="s">
        <v>172</v>
      </c>
      <c r="O20" s="4" t="s">
        <v>181</v>
      </c>
      <c r="P20" s="4" t="s">
        <v>183</v>
      </c>
      <c r="Q20" s="4" t="s">
        <v>185</v>
      </c>
      <c r="R20" s="4" t="s">
        <v>187</v>
      </c>
      <c r="S20" s="4" t="s">
        <v>202</v>
      </c>
      <c r="T20" s="4" t="s">
        <v>205</v>
      </c>
      <c r="U20" s="4" t="s">
        <v>206</v>
      </c>
      <c r="V20" s="4" t="s">
        <v>210</v>
      </c>
      <c r="W20" s="4" t="s">
        <v>211</v>
      </c>
      <c r="X20" s="4" t="s">
        <v>213</v>
      </c>
      <c r="Y20" s="4" t="s">
        <v>218</v>
      </c>
      <c r="Z20" s="4" t="s">
        <v>225</v>
      </c>
      <c r="AA20" s="4" t="s">
        <v>231</v>
      </c>
      <c r="AB20" s="4" t="s">
        <v>241</v>
      </c>
      <c r="AC20" s="4" t="s">
        <v>244</v>
      </c>
      <c r="AD20" s="4" t="s">
        <v>245</v>
      </c>
      <c r="AE20" s="4" t="s">
        <v>247</v>
      </c>
      <c r="AF20" s="4" t="s">
        <v>252</v>
      </c>
      <c r="AG20" s="4" t="s">
        <v>259</v>
      </c>
      <c r="AH20" s="4" t="s">
        <v>266</v>
      </c>
      <c r="AI20" s="4" t="s">
        <v>269</v>
      </c>
      <c r="AJ20" s="282"/>
      <c r="AK20" s="4">
        <v>2005</v>
      </c>
      <c r="AL20" s="4">
        <v>2006</v>
      </c>
      <c r="AM20" s="4">
        <v>2007</v>
      </c>
      <c r="AN20" s="4">
        <v>2008</v>
      </c>
      <c r="AO20" s="4">
        <v>2009</v>
      </c>
      <c r="AP20" s="4">
        <v>2010</v>
      </c>
      <c r="AQ20" s="4">
        <v>2011</v>
      </c>
      <c r="AR20" s="4">
        <v>2012</v>
      </c>
      <c r="AS20" s="4">
        <v>2013</v>
      </c>
    </row>
    <row r="21" spans="1:45" ht="12.75">
      <c r="A21" s="7" t="s">
        <v>26</v>
      </c>
      <c r="B21" s="8">
        <v>16.389</v>
      </c>
      <c r="C21" s="21">
        <v>43.105</v>
      </c>
      <c r="D21" s="21">
        <v>70.409</v>
      </c>
      <c r="E21" s="21">
        <v>90.998</v>
      </c>
      <c r="F21" s="21">
        <v>23.17</v>
      </c>
      <c r="G21" s="21">
        <v>43.102</v>
      </c>
      <c r="H21" s="22">
        <v>71.495</v>
      </c>
      <c r="I21" s="21">
        <v>105.442</v>
      </c>
      <c r="J21" s="23">
        <v>20.889</v>
      </c>
      <c r="K21" s="21">
        <v>41.198</v>
      </c>
      <c r="L21" s="21">
        <v>50.694</v>
      </c>
      <c r="M21" s="21">
        <v>62.886</v>
      </c>
      <c r="N21" s="212">
        <v>12.482</v>
      </c>
      <c r="O21" s="212">
        <v>60.935</v>
      </c>
      <c r="P21" s="212">
        <v>72.542</v>
      </c>
      <c r="Q21" s="212">
        <v>84.997</v>
      </c>
      <c r="R21" s="212">
        <v>12.907</v>
      </c>
      <c r="S21" s="212">
        <v>37.504</v>
      </c>
      <c r="T21" s="212">
        <v>60.54</v>
      </c>
      <c r="U21" s="212">
        <v>81.364</v>
      </c>
      <c r="V21" s="212">
        <v>20.095</v>
      </c>
      <c r="W21" s="212">
        <v>55.845</v>
      </c>
      <c r="X21" s="212">
        <v>147.758</v>
      </c>
      <c r="Y21" s="212">
        <v>148.858</v>
      </c>
      <c r="Z21" s="212">
        <v>35.669</v>
      </c>
      <c r="AA21" s="212">
        <v>121.176</v>
      </c>
      <c r="AB21" s="212">
        <v>214.172</v>
      </c>
      <c r="AC21" s="212">
        <v>340.776</v>
      </c>
      <c r="AD21" s="212">
        <v>91.981</v>
      </c>
      <c r="AE21" s="212">
        <v>192.399</v>
      </c>
      <c r="AF21" s="212">
        <v>278.382</v>
      </c>
      <c r="AG21" s="212">
        <v>372.21</v>
      </c>
      <c r="AH21" s="212">
        <v>87.74</v>
      </c>
      <c r="AI21" s="212">
        <v>205.193</v>
      </c>
      <c r="AJ21" s="212"/>
      <c r="AK21" s="8">
        <v>94.661</v>
      </c>
      <c r="AL21" s="21">
        <v>90.998</v>
      </c>
      <c r="AM21" s="22">
        <v>105.442</v>
      </c>
      <c r="AN21" s="21">
        <v>62.886</v>
      </c>
      <c r="AO21" s="21">
        <f>Q21</f>
        <v>84.997</v>
      </c>
      <c r="AP21" s="21">
        <f>U21</f>
        <v>81.364</v>
      </c>
      <c r="AQ21" s="21">
        <f>Y21</f>
        <v>148.858</v>
      </c>
      <c r="AR21" s="21">
        <f>AC21</f>
        <v>340.776</v>
      </c>
      <c r="AS21" s="21">
        <f>AG21</f>
        <v>372.21</v>
      </c>
    </row>
    <row r="22" spans="1:45" s="15" customFormat="1" ht="12.75">
      <c r="A22" s="9" t="s">
        <v>137</v>
      </c>
      <c r="B22" s="10"/>
      <c r="C22" s="11"/>
      <c r="D22" s="11"/>
      <c r="E22" s="12"/>
      <c r="F22" s="11"/>
      <c r="G22" s="11"/>
      <c r="H22" s="11"/>
      <c r="I22" s="12"/>
      <c r="J22" s="13"/>
      <c r="K22" s="11"/>
      <c r="L22" s="12"/>
      <c r="M22" s="12"/>
      <c r="N22" s="26"/>
      <c r="O22" s="26"/>
      <c r="P22" s="26"/>
      <c r="Q22" s="26"/>
      <c r="R22" s="26"/>
      <c r="S22" s="26"/>
      <c r="T22" s="26"/>
      <c r="U22" s="26"/>
      <c r="V22" s="26"/>
      <c r="W22" s="26"/>
      <c r="X22" s="26"/>
      <c r="Y22" s="26"/>
      <c r="Z22" s="26"/>
      <c r="AA22" s="26"/>
      <c r="AB22" s="26"/>
      <c r="AC22" s="26"/>
      <c r="AD22" s="26"/>
      <c r="AE22" s="26"/>
      <c r="AF22" s="26"/>
      <c r="AG22" s="26"/>
      <c r="AH22" s="26"/>
      <c r="AI22" s="26"/>
      <c r="AJ22" s="26"/>
      <c r="AK22" s="10"/>
      <c r="AL22" s="14">
        <v>-0.03869597828038995</v>
      </c>
      <c r="AM22" s="14">
        <v>0.15872876326952223</v>
      </c>
      <c r="AN22" s="14">
        <v>-0.403596289903454</v>
      </c>
      <c r="AO22" s="14">
        <f>AO21/AN21-1</f>
        <v>0.3516044906656488</v>
      </c>
      <c r="AP22" s="14">
        <f>AP21/AO21-1</f>
        <v>-0.04274268503594236</v>
      </c>
      <c r="AQ22" s="14">
        <f>AQ21/AP21-1</f>
        <v>0.8295314881274274</v>
      </c>
      <c r="AR22" s="14">
        <f>AR21/AQ21-1</f>
        <v>1.2892689677410685</v>
      </c>
      <c r="AS22" s="14">
        <f>AS21/AR21-1</f>
        <v>0.09224241143742518</v>
      </c>
    </row>
    <row r="23" spans="1:45" ht="12.75">
      <c r="A23" s="18" t="s">
        <v>138</v>
      </c>
      <c r="B23" s="23" t="s">
        <v>139</v>
      </c>
      <c r="C23" s="23" t="s">
        <v>139</v>
      </c>
      <c r="D23" s="23" t="s">
        <v>139</v>
      </c>
      <c r="E23" s="23">
        <v>71.795</v>
      </c>
      <c r="F23" s="23" t="s">
        <v>139</v>
      </c>
      <c r="G23" s="23" t="s">
        <v>139</v>
      </c>
      <c r="H23" s="23" t="s">
        <v>139</v>
      </c>
      <c r="I23" s="23">
        <v>80.306</v>
      </c>
      <c r="J23" s="23" t="s">
        <v>139</v>
      </c>
      <c r="K23" s="23" t="s">
        <v>139</v>
      </c>
      <c r="L23" s="23" t="s">
        <v>139</v>
      </c>
      <c r="M23" s="23">
        <v>77.494</v>
      </c>
      <c r="N23" s="23" t="s">
        <v>139</v>
      </c>
      <c r="O23" s="23" t="s">
        <v>139</v>
      </c>
      <c r="P23" s="23" t="s">
        <v>139</v>
      </c>
      <c r="Q23" s="23">
        <v>81.232</v>
      </c>
      <c r="R23" s="23" t="s">
        <v>139</v>
      </c>
      <c r="S23" s="23" t="s">
        <v>139</v>
      </c>
      <c r="T23" s="23" t="s">
        <v>139</v>
      </c>
      <c r="U23" s="23">
        <v>57.059</v>
      </c>
      <c r="V23" s="23" t="s">
        <v>139</v>
      </c>
      <c r="W23" s="23" t="s">
        <v>139</v>
      </c>
      <c r="X23" s="23" t="s">
        <v>139</v>
      </c>
      <c r="Y23" s="23">
        <v>47.625</v>
      </c>
      <c r="Z23" s="23" t="s">
        <v>139</v>
      </c>
      <c r="AA23" s="23" t="s">
        <v>139</v>
      </c>
      <c r="AB23" s="23" t="s">
        <v>139</v>
      </c>
      <c r="AC23" s="23">
        <v>67.479</v>
      </c>
      <c r="AD23" s="23" t="s">
        <v>139</v>
      </c>
      <c r="AE23" s="23" t="s">
        <v>139</v>
      </c>
      <c r="AF23" s="23" t="s">
        <v>139</v>
      </c>
      <c r="AG23" s="23">
        <v>71.482</v>
      </c>
      <c r="AH23" s="23" t="s">
        <v>139</v>
      </c>
      <c r="AI23" s="23" t="s">
        <v>139</v>
      </c>
      <c r="AJ23" s="23"/>
      <c r="AK23" s="8">
        <v>68.359</v>
      </c>
      <c r="AL23" s="21">
        <f>E23</f>
        <v>71.795</v>
      </c>
      <c r="AM23" s="22">
        <f>I23</f>
        <v>80.306</v>
      </c>
      <c r="AN23" s="23">
        <f>M23</f>
        <v>77.494</v>
      </c>
      <c r="AO23" s="23">
        <f>Q23</f>
        <v>81.232</v>
      </c>
      <c r="AP23" s="23">
        <f>U23</f>
        <v>57.059</v>
      </c>
      <c r="AQ23" s="23">
        <f>Y23</f>
        <v>47.625</v>
      </c>
      <c r="AR23" s="23">
        <f>AC23</f>
        <v>67.479</v>
      </c>
      <c r="AS23" s="23">
        <f>AG23</f>
        <v>71.482</v>
      </c>
    </row>
    <row r="24" spans="1:45" s="15" customFormat="1" ht="12.75">
      <c r="A24" s="9" t="s">
        <v>137</v>
      </c>
      <c r="B24" s="10"/>
      <c r="C24" s="11"/>
      <c r="D24" s="11"/>
      <c r="E24" s="12"/>
      <c r="F24" s="11"/>
      <c r="G24" s="11"/>
      <c r="H24" s="11"/>
      <c r="I24" s="12"/>
      <c r="J24" s="13"/>
      <c r="K24" s="11"/>
      <c r="L24" s="12"/>
      <c r="M24" s="12"/>
      <c r="N24" s="6"/>
      <c r="O24" s="6"/>
      <c r="P24" s="6"/>
      <c r="Q24" s="6"/>
      <c r="R24" s="6"/>
      <c r="S24" s="6"/>
      <c r="T24" s="6"/>
      <c r="U24" s="6"/>
      <c r="V24" s="6"/>
      <c r="W24" s="6"/>
      <c r="X24" s="6"/>
      <c r="Y24" s="6"/>
      <c r="Z24" s="6"/>
      <c r="AA24" s="6"/>
      <c r="AB24" s="6"/>
      <c r="AC24" s="6"/>
      <c r="AD24" s="6"/>
      <c r="AE24" s="6"/>
      <c r="AF24" s="6"/>
      <c r="AG24" s="6"/>
      <c r="AH24" s="6"/>
      <c r="AI24" s="6"/>
      <c r="AJ24" s="6"/>
      <c r="AK24" s="10"/>
      <c r="AL24" s="14">
        <v>0.05026404716277311</v>
      </c>
      <c r="AM24" s="14">
        <v>0.11854585973953613</v>
      </c>
      <c r="AN24" s="14">
        <v>-0.035016063556894794</v>
      </c>
      <c r="AO24" s="14">
        <f>AO23/AN23-1</f>
        <v>0.04823599246393262</v>
      </c>
      <c r="AP24" s="14">
        <f>AP23/AO23-1</f>
        <v>-0.29757977151861337</v>
      </c>
      <c r="AQ24" s="14">
        <f>AQ23/AP23-1</f>
        <v>-0.1653376329763928</v>
      </c>
      <c r="AR24" s="14">
        <f>AR23/AQ23-1</f>
        <v>0.4168818897637796</v>
      </c>
      <c r="AS24" s="14">
        <f>AS23/AR23-1</f>
        <v>0.05932215948665509</v>
      </c>
    </row>
    <row r="25" spans="1:45" ht="12.75">
      <c r="A25" s="18" t="s">
        <v>3</v>
      </c>
      <c r="B25" s="8">
        <v>29.847</v>
      </c>
      <c r="C25" s="29">
        <v>89.048</v>
      </c>
      <c r="D25" s="29">
        <v>183.267</v>
      </c>
      <c r="E25" s="21">
        <v>297.286</v>
      </c>
      <c r="F25" s="29">
        <v>124.231</v>
      </c>
      <c r="G25" s="29">
        <v>254.797</v>
      </c>
      <c r="H25" s="29">
        <v>384.5</v>
      </c>
      <c r="I25" s="21">
        <v>523.245</v>
      </c>
      <c r="J25" s="30">
        <v>156.39</v>
      </c>
      <c r="K25" s="29">
        <v>315.562</v>
      </c>
      <c r="L25" s="21">
        <v>474.293</v>
      </c>
      <c r="M25" s="21">
        <v>548.473</v>
      </c>
      <c r="N25" s="23">
        <v>23.977</v>
      </c>
      <c r="O25" s="23">
        <v>73.132</v>
      </c>
      <c r="P25" s="23">
        <v>121.172</v>
      </c>
      <c r="Q25" s="23">
        <v>159.78</v>
      </c>
      <c r="R25" s="23">
        <v>62.292</v>
      </c>
      <c r="S25" s="23">
        <v>225.893</v>
      </c>
      <c r="T25" s="23">
        <v>388.697</v>
      </c>
      <c r="U25" s="23">
        <v>544.544</v>
      </c>
      <c r="V25" s="23">
        <v>196.372</v>
      </c>
      <c r="W25" s="23">
        <v>478.444</v>
      </c>
      <c r="X25" s="23">
        <v>746.266</v>
      </c>
      <c r="Y25" s="23">
        <v>991.854</v>
      </c>
      <c r="Z25" s="23">
        <v>202.636</v>
      </c>
      <c r="AA25" s="23">
        <v>432.774</v>
      </c>
      <c r="AB25" s="23">
        <v>605.504</v>
      </c>
      <c r="AC25" s="23">
        <v>793.094</v>
      </c>
      <c r="AD25" s="23">
        <v>196.867</v>
      </c>
      <c r="AE25" s="23">
        <v>405.535</v>
      </c>
      <c r="AF25" s="23">
        <v>578.097</v>
      </c>
      <c r="AG25" s="23">
        <v>788.308</v>
      </c>
      <c r="AH25" s="23">
        <v>192.811</v>
      </c>
      <c r="AI25" s="23">
        <v>361.214</v>
      </c>
      <c r="AJ25" s="23"/>
      <c r="AK25" s="8">
        <v>277.479</v>
      </c>
      <c r="AL25" s="29">
        <f>E25</f>
        <v>297.286</v>
      </c>
      <c r="AM25" s="29">
        <f>I25</f>
        <v>523.245</v>
      </c>
      <c r="AN25" s="21">
        <f>M25</f>
        <v>548.473</v>
      </c>
      <c r="AO25" s="21">
        <f>Q25</f>
        <v>159.78</v>
      </c>
      <c r="AP25" s="21">
        <f>U25</f>
        <v>544.544</v>
      </c>
      <c r="AQ25" s="21">
        <f>Y25</f>
        <v>991.854</v>
      </c>
      <c r="AR25" s="21">
        <f>AC25</f>
        <v>793.094</v>
      </c>
      <c r="AS25" s="21">
        <f>AG25</f>
        <v>788.308</v>
      </c>
    </row>
    <row r="26" spans="1:45" s="15" customFormat="1" ht="12.75">
      <c r="A26" s="9" t="s">
        <v>137</v>
      </c>
      <c r="B26" s="10"/>
      <c r="C26" s="11"/>
      <c r="D26" s="11"/>
      <c r="E26" s="12"/>
      <c r="F26" s="11"/>
      <c r="G26" s="11"/>
      <c r="H26" s="11"/>
      <c r="I26" s="12"/>
      <c r="J26" s="31"/>
      <c r="K26" s="11"/>
      <c r="L26" s="12"/>
      <c r="M26" s="12"/>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10"/>
      <c r="AL26" s="14">
        <v>0.07138197845602745</v>
      </c>
      <c r="AM26" s="14">
        <v>0.7600727918569996</v>
      </c>
      <c r="AN26" s="14">
        <v>0.04821450754426704</v>
      </c>
      <c r="AO26" s="14">
        <f>AO25/AN25-1</f>
        <v>-0.7086821046797198</v>
      </c>
      <c r="AP26" s="14">
        <f>AP25/AO25-1</f>
        <v>2.4080861184128173</v>
      </c>
      <c r="AQ26" s="14">
        <f>AQ25/AP25-1</f>
        <v>0.8214395898219429</v>
      </c>
      <c r="AR26" s="14">
        <f>AR25/AQ25-1</f>
        <v>-0.20039239646157603</v>
      </c>
      <c r="AS26" s="14">
        <f>AS25/AR25-1</f>
        <v>-0.006034593629506757</v>
      </c>
    </row>
    <row r="27" spans="1:45" s="36" customFormat="1" ht="12.75">
      <c r="A27" s="18" t="s">
        <v>2</v>
      </c>
      <c r="B27" s="21" t="s">
        <v>141</v>
      </c>
      <c r="C27" s="21" t="s">
        <v>141</v>
      </c>
      <c r="D27" s="21" t="s">
        <v>141</v>
      </c>
      <c r="E27" s="23">
        <v>381.127</v>
      </c>
      <c r="F27" s="21">
        <v>0</v>
      </c>
      <c r="G27" s="21">
        <v>0</v>
      </c>
      <c r="H27" s="21">
        <v>0</v>
      </c>
      <c r="I27" s="23">
        <v>603.551</v>
      </c>
      <c r="J27" s="23">
        <v>0</v>
      </c>
      <c r="K27" s="23">
        <v>0</v>
      </c>
      <c r="L27" s="23">
        <v>0</v>
      </c>
      <c r="M27" s="23">
        <v>625.967</v>
      </c>
      <c r="N27" s="21">
        <v>0</v>
      </c>
      <c r="O27" s="21">
        <v>0</v>
      </c>
      <c r="P27" s="21">
        <v>0</v>
      </c>
      <c r="Q27" s="21">
        <v>241.012</v>
      </c>
      <c r="R27" s="21">
        <v>0</v>
      </c>
      <c r="S27" s="21">
        <v>0</v>
      </c>
      <c r="T27" s="21">
        <v>0</v>
      </c>
      <c r="U27" s="21">
        <v>601.603</v>
      </c>
      <c r="V27" s="21">
        <v>0</v>
      </c>
      <c r="W27" s="21">
        <v>0</v>
      </c>
      <c r="X27" s="21">
        <v>0</v>
      </c>
      <c r="Y27" s="21">
        <v>1039.4795713212238</v>
      </c>
      <c r="Z27" s="21">
        <v>216.739</v>
      </c>
      <c r="AA27" s="21">
        <v>463.854</v>
      </c>
      <c r="AB27" s="21">
        <v>654.07</v>
      </c>
      <c r="AC27" s="21">
        <v>860.573</v>
      </c>
      <c r="AD27" s="21">
        <v>215.02</v>
      </c>
      <c r="AE27" s="21">
        <v>442.001</v>
      </c>
      <c r="AF27" s="21">
        <v>631.574</v>
      </c>
      <c r="AG27" s="21">
        <v>859.79</v>
      </c>
      <c r="AH27" s="21">
        <v>208.531</v>
      </c>
      <c r="AI27" s="21">
        <v>393.736</v>
      </c>
      <c r="AJ27" s="30"/>
      <c r="AK27" s="21">
        <v>345.838</v>
      </c>
      <c r="AL27" s="21">
        <f>E27</f>
        <v>381.127</v>
      </c>
      <c r="AM27" s="21">
        <f>I27</f>
        <v>603.551</v>
      </c>
      <c r="AN27" s="23">
        <f>M27</f>
        <v>625.967</v>
      </c>
      <c r="AO27" s="21">
        <f>Q27</f>
        <v>241.012</v>
      </c>
      <c r="AP27" s="21">
        <f>U27</f>
        <v>601.603</v>
      </c>
      <c r="AQ27" s="21">
        <f>Y27</f>
        <v>1039.4795713212238</v>
      </c>
      <c r="AR27" s="21">
        <f>AC27</f>
        <v>860.573</v>
      </c>
      <c r="AS27" s="21">
        <f>AG27</f>
        <v>859.79</v>
      </c>
    </row>
    <row r="28" spans="1:45" s="36" customFormat="1" ht="12.75">
      <c r="A28" s="9" t="s">
        <v>137</v>
      </c>
      <c r="B28" s="267"/>
      <c r="C28" s="267"/>
      <c r="D28" s="267"/>
      <c r="E28" s="266"/>
      <c r="F28" s="267"/>
      <c r="G28" s="267"/>
      <c r="H28" s="267"/>
      <c r="I28" s="266"/>
      <c r="J28" s="268"/>
      <c r="K28" s="268"/>
      <c r="L28" s="266"/>
      <c r="M28" s="266"/>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35"/>
      <c r="AK28" s="267"/>
      <c r="AL28" s="262">
        <f aca="true" t="shared" si="0" ref="AL28:AS28">AL27/AK27-1</f>
        <v>0.10203910501448643</v>
      </c>
      <c r="AM28" s="262">
        <f t="shared" si="0"/>
        <v>0.5835954944152475</v>
      </c>
      <c r="AN28" s="262">
        <f t="shared" si="0"/>
        <v>0.03714019196389362</v>
      </c>
      <c r="AO28" s="262">
        <f t="shared" si="0"/>
        <v>-0.6149765083462866</v>
      </c>
      <c r="AP28" s="262">
        <f t="shared" si="0"/>
        <v>1.496153718487046</v>
      </c>
      <c r="AQ28" s="262">
        <f t="shared" si="0"/>
        <v>0.7278497137168929</v>
      </c>
      <c r="AR28" s="262">
        <f t="shared" si="0"/>
        <v>-0.17211167612830125</v>
      </c>
      <c r="AS28" s="262">
        <f t="shared" si="0"/>
        <v>-0.0009098588963399878</v>
      </c>
    </row>
    <row r="29" spans="1:45" s="36" customFormat="1" ht="12.75">
      <c r="A29" s="328" t="s">
        <v>271</v>
      </c>
      <c r="B29" s="21" t="s">
        <v>141</v>
      </c>
      <c r="C29" s="21" t="s">
        <v>141</v>
      </c>
      <c r="D29" s="21" t="s">
        <v>141</v>
      </c>
      <c r="E29" s="23">
        <v>242.549</v>
      </c>
      <c r="F29" s="21">
        <v>0</v>
      </c>
      <c r="G29" s="21">
        <v>0</v>
      </c>
      <c r="H29" s="21">
        <v>0</v>
      </c>
      <c r="I29" s="23">
        <v>443.108</v>
      </c>
      <c r="J29" s="23">
        <v>0</v>
      </c>
      <c r="K29" s="23">
        <v>0</v>
      </c>
      <c r="L29" s="23">
        <v>0</v>
      </c>
      <c r="M29" s="23">
        <v>485.176</v>
      </c>
      <c r="N29" s="21">
        <v>0</v>
      </c>
      <c r="O29" s="21">
        <v>0</v>
      </c>
      <c r="P29" s="21">
        <v>0</v>
      </c>
      <c r="Q29" s="21">
        <v>140.124</v>
      </c>
      <c r="R29" s="21">
        <v>0</v>
      </c>
      <c r="S29" s="21">
        <v>0</v>
      </c>
      <c r="T29" s="21">
        <v>0</v>
      </c>
      <c r="U29" s="21">
        <v>428.173</v>
      </c>
      <c r="V29" s="21">
        <v>0</v>
      </c>
      <c r="W29" s="21">
        <v>0</v>
      </c>
      <c r="X29" s="21">
        <v>0</v>
      </c>
      <c r="Y29" s="21">
        <v>840.5426682115885</v>
      </c>
      <c r="Z29" s="21">
        <v>126.807</v>
      </c>
      <c r="AA29" s="21">
        <v>365.031</v>
      </c>
      <c r="AB29" s="21">
        <v>482.211</v>
      </c>
      <c r="AC29" s="21">
        <v>618.056</v>
      </c>
      <c r="AD29" s="21">
        <v>163.972</v>
      </c>
      <c r="AE29" s="21">
        <v>375.273</v>
      </c>
      <c r="AF29" s="21">
        <v>518.839</v>
      </c>
      <c r="AG29" s="21">
        <v>762.328</v>
      </c>
      <c r="AH29" s="21">
        <v>204.339</v>
      </c>
      <c r="AI29" s="21">
        <v>303.582</v>
      </c>
      <c r="AJ29" s="30"/>
      <c r="AK29" s="21">
        <v>218.056</v>
      </c>
      <c r="AL29" s="21">
        <f>E29</f>
        <v>242.549</v>
      </c>
      <c r="AM29" s="21">
        <f>I29</f>
        <v>443.108</v>
      </c>
      <c r="AN29" s="23">
        <f>M29</f>
        <v>485.176</v>
      </c>
      <c r="AO29" s="21">
        <f>Q29</f>
        <v>140.124</v>
      </c>
      <c r="AP29" s="21">
        <f>U29</f>
        <v>428.173</v>
      </c>
      <c r="AQ29" s="21">
        <f>Y29</f>
        <v>840.5426682115885</v>
      </c>
      <c r="AR29" s="21">
        <f>AC29</f>
        <v>618.056</v>
      </c>
      <c r="AS29" s="21">
        <f>AG29</f>
        <v>762.328</v>
      </c>
    </row>
    <row r="30" spans="1:45" s="36" customFormat="1" ht="12.75">
      <c r="A30" s="9" t="s">
        <v>137</v>
      </c>
      <c r="B30" s="267"/>
      <c r="C30" s="267"/>
      <c r="D30" s="267"/>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35"/>
      <c r="AK30" s="267"/>
      <c r="AL30" s="262">
        <f aca="true" t="shared" si="1" ref="AL30:AS30">AL29/AK29-1</f>
        <v>0.1123243570458965</v>
      </c>
      <c r="AM30" s="262">
        <f t="shared" si="1"/>
        <v>0.8268803417041504</v>
      </c>
      <c r="AN30" s="262">
        <f t="shared" si="1"/>
        <v>0.0949384800093882</v>
      </c>
      <c r="AO30" s="262">
        <f t="shared" si="1"/>
        <v>-0.7111893415997494</v>
      </c>
      <c r="AP30" s="262">
        <f t="shared" si="1"/>
        <v>2.0556721189803318</v>
      </c>
      <c r="AQ30" s="262">
        <f t="shared" si="1"/>
        <v>0.9630912463223709</v>
      </c>
      <c r="AR30" s="262">
        <f t="shared" si="1"/>
        <v>-0.26469407993882144</v>
      </c>
      <c r="AS30" s="262">
        <f t="shared" si="1"/>
        <v>0.23342868607375378</v>
      </c>
    </row>
    <row r="31" spans="1:45" s="36" customFormat="1" ht="12.75">
      <c r="A31" s="328" t="s">
        <v>272</v>
      </c>
      <c r="B31" s="21" t="s">
        <v>141</v>
      </c>
      <c r="C31" s="21" t="s">
        <v>141</v>
      </c>
      <c r="D31" s="21" t="s">
        <v>141</v>
      </c>
      <c r="E31" s="23"/>
      <c r="F31" s="21"/>
      <c r="G31" s="21"/>
      <c r="H31" s="21"/>
      <c r="I31" s="23"/>
      <c r="J31" s="23"/>
      <c r="K31" s="23"/>
      <c r="L31" s="23"/>
      <c r="M31" s="23"/>
      <c r="N31" s="21"/>
      <c r="O31" s="21"/>
      <c r="P31" s="21"/>
      <c r="Q31" s="21"/>
      <c r="R31" s="21"/>
      <c r="S31" s="21"/>
      <c r="T31" s="21"/>
      <c r="U31" s="21"/>
      <c r="V31" s="21"/>
      <c r="W31" s="21"/>
      <c r="X31" s="21"/>
      <c r="Y31" s="21"/>
      <c r="Z31" s="21"/>
      <c r="AA31" s="21"/>
      <c r="AB31" s="21"/>
      <c r="AC31" s="21"/>
      <c r="AD31" s="21"/>
      <c r="AE31" s="21"/>
      <c r="AF31" s="21"/>
      <c r="AG31" s="21"/>
      <c r="AH31" s="21"/>
      <c r="AI31" s="21"/>
      <c r="AJ31" s="30"/>
      <c r="AK31" s="21"/>
      <c r="AL31" s="21"/>
      <c r="AM31" s="21"/>
      <c r="AN31" s="23"/>
      <c r="AO31" s="21"/>
      <c r="AP31" s="21"/>
      <c r="AQ31" s="21"/>
      <c r="AR31" s="21"/>
      <c r="AS31" s="21"/>
    </row>
    <row r="32" spans="1:45" s="36" customFormat="1" ht="12.75">
      <c r="A32" s="329" t="s">
        <v>3</v>
      </c>
      <c r="B32" s="267"/>
      <c r="C32" s="267"/>
      <c r="D32" s="267"/>
      <c r="E32" s="12">
        <f>E25/E51</f>
        <v>0.4837411074011156</v>
      </c>
      <c r="F32" s="267"/>
      <c r="G32" s="267"/>
      <c r="H32" s="267"/>
      <c r="I32" s="12">
        <f>I25/I51</f>
        <v>0.588667107679015</v>
      </c>
      <c r="J32" s="268"/>
      <c r="K32" s="268"/>
      <c r="L32" s="266"/>
      <c r="M32" s="12">
        <f>M25/M51</f>
        <v>0.587744941501229</v>
      </c>
      <c r="N32" s="267"/>
      <c r="O32" s="267"/>
      <c r="P32" s="267"/>
      <c r="Q32" s="12">
        <f>Q25/Q51</f>
        <v>0.30997916399911535</v>
      </c>
      <c r="R32" s="267"/>
      <c r="S32" s="267"/>
      <c r="T32" s="267"/>
      <c r="U32" s="12">
        <f>U25/U51</f>
        <v>0.5966814263533274</v>
      </c>
      <c r="V32" s="267"/>
      <c r="W32" s="267"/>
      <c r="X32" s="267"/>
      <c r="Y32" s="12">
        <f aca="true" t="shared" si="2" ref="Y32:AI32">Y25/Y51</f>
        <v>0.6888823997139188</v>
      </c>
      <c r="Z32" s="12">
        <f t="shared" si="2"/>
        <v>0.6407401668916974</v>
      </c>
      <c r="AA32" s="12">
        <f t="shared" si="2"/>
        <v>0.640037268734194</v>
      </c>
      <c r="AB32" s="12">
        <f t="shared" si="2"/>
        <v>0.6110486555000071</v>
      </c>
      <c r="AC32" s="12">
        <f t="shared" si="2"/>
        <v>0.5928943345306935</v>
      </c>
      <c r="AD32" s="12">
        <f t="shared" si="2"/>
        <v>0.5848571182417478</v>
      </c>
      <c r="AE32" s="12">
        <f t="shared" si="2"/>
        <v>0.5911468279073022</v>
      </c>
      <c r="AF32" s="12">
        <f t="shared" si="2"/>
        <v>0.5790808583783849</v>
      </c>
      <c r="AG32" s="12">
        <f t="shared" si="2"/>
        <v>0.5835104276541017</v>
      </c>
      <c r="AH32" s="12">
        <f t="shared" si="2"/>
        <v>0.6091666771979931</v>
      </c>
      <c r="AI32" s="12">
        <f t="shared" si="2"/>
        <v>0.5799411090381892</v>
      </c>
      <c r="AJ32" s="235"/>
      <c r="AK32" s="12">
        <f aca="true" t="shared" si="3" ref="AK32:AS32">AK25/AK51</f>
        <v>0.49974605575967146</v>
      </c>
      <c r="AL32" s="12">
        <f t="shared" si="3"/>
        <v>0.4837411074011156</v>
      </c>
      <c r="AM32" s="12">
        <f t="shared" si="3"/>
        <v>0.588667107679015</v>
      </c>
      <c r="AN32" s="12">
        <f t="shared" si="3"/>
        <v>0.587744941501229</v>
      </c>
      <c r="AO32" s="12">
        <f t="shared" si="3"/>
        <v>0.30997916399911535</v>
      </c>
      <c r="AP32" s="12">
        <f t="shared" si="3"/>
        <v>0.5966814263533274</v>
      </c>
      <c r="AQ32" s="12">
        <f t="shared" si="3"/>
        <v>0.6888823997139188</v>
      </c>
      <c r="AR32" s="12">
        <f t="shared" si="3"/>
        <v>0.5928943345306935</v>
      </c>
      <c r="AS32" s="12">
        <f t="shared" si="3"/>
        <v>0.5835104276541017</v>
      </c>
    </row>
    <row r="33" spans="1:45" s="36" customFormat="1" ht="12.75">
      <c r="A33" s="329" t="s">
        <v>2</v>
      </c>
      <c r="B33" s="267"/>
      <c r="C33" s="267"/>
      <c r="D33" s="267"/>
      <c r="E33" s="12">
        <f>E27/E51</f>
        <v>0.6201664290967788</v>
      </c>
      <c r="F33" s="267"/>
      <c r="G33" s="267"/>
      <c r="H33" s="267"/>
      <c r="I33" s="12">
        <f>I27/I51</f>
        <v>0.6790138873888469</v>
      </c>
      <c r="J33" s="268"/>
      <c r="K33" s="268"/>
      <c r="L33" s="266"/>
      <c r="M33" s="12">
        <f>M27/M51</f>
        <v>0.6707876920043464</v>
      </c>
      <c r="N33" s="267"/>
      <c r="O33" s="267"/>
      <c r="P33" s="267"/>
      <c r="Q33" s="12">
        <f>Q27/Q51</f>
        <v>0.46757227609059204</v>
      </c>
      <c r="R33" s="267"/>
      <c r="S33" s="267"/>
      <c r="T33" s="267"/>
      <c r="U33" s="12">
        <f>U27/U51</f>
        <v>0.659203546707779</v>
      </c>
      <c r="V33" s="267"/>
      <c r="W33" s="267"/>
      <c r="X33" s="267"/>
      <c r="Y33" s="12">
        <f aca="true" t="shared" si="4" ref="Y33:AI33">Y27/Y51</f>
        <v>0.7219602699039983</v>
      </c>
      <c r="Z33" s="12">
        <f t="shared" si="4"/>
        <v>0.6853342102683612</v>
      </c>
      <c r="AA33" s="12">
        <f t="shared" si="4"/>
        <v>0.6860020409068724</v>
      </c>
      <c r="AB33" s="12">
        <f t="shared" si="4"/>
        <v>0.6600593788032608</v>
      </c>
      <c r="AC33" s="12">
        <f t="shared" si="4"/>
        <v>0.6433397001491404</v>
      </c>
      <c r="AD33" s="12">
        <f t="shared" si="4"/>
        <v>0.6387864779995663</v>
      </c>
      <c r="AE33" s="12">
        <f t="shared" si="4"/>
        <v>0.6443031774861737</v>
      </c>
      <c r="AF33" s="12">
        <f t="shared" si="4"/>
        <v>0.632648870430862</v>
      </c>
      <c r="AG33" s="12">
        <f t="shared" si="4"/>
        <v>0.6364218434834101</v>
      </c>
      <c r="AH33" s="12">
        <f t="shared" si="4"/>
        <v>0.6588324128953986</v>
      </c>
      <c r="AI33" s="12">
        <f t="shared" si="4"/>
        <v>0.6321562633459956</v>
      </c>
      <c r="AJ33" s="235"/>
      <c r="AK33" s="12">
        <f aca="true" t="shared" si="5" ref="AK33:AS33">AK27/AK51</f>
        <v>0.6228621857214899</v>
      </c>
      <c r="AL33" s="12">
        <f t="shared" si="5"/>
        <v>0.6201664290967788</v>
      </c>
      <c r="AM33" s="12">
        <f t="shared" si="5"/>
        <v>0.6790138873888469</v>
      </c>
      <c r="AN33" s="12">
        <f t="shared" si="5"/>
        <v>0.6707876920043464</v>
      </c>
      <c r="AO33" s="12">
        <f t="shared" si="5"/>
        <v>0.46757227609059204</v>
      </c>
      <c r="AP33" s="12">
        <f t="shared" si="5"/>
        <v>0.659203546707779</v>
      </c>
      <c r="AQ33" s="12">
        <f t="shared" si="5"/>
        <v>0.7219602699039983</v>
      </c>
      <c r="AR33" s="12">
        <f t="shared" si="5"/>
        <v>0.6433397001491404</v>
      </c>
      <c r="AS33" s="12">
        <f t="shared" si="5"/>
        <v>0.6364218434834101</v>
      </c>
    </row>
    <row r="34" spans="1:45" s="36" customFormat="1" ht="12.75">
      <c r="A34" s="329" t="s">
        <v>271</v>
      </c>
      <c r="B34" s="267"/>
      <c r="C34" s="267"/>
      <c r="D34" s="267"/>
      <c r="E34" s="12">
        <f>E29/E51</f>
        <v>0.3946735529390324</v>
      </c>
      <c r="F34" s="267"/>
      <c r="G34" s="267"/>
      <c r="H34" s="267"/>
      <c r="I34" s="12">
        <f>I29/I51</f>
        <v>0.4985104582928322</v>
      </c>
      <c r="J34" s="268"/>
      <c r="K34" s="268"/>
      <c r="L34" s="266"/>
      <c r="M34" s="12">
        <f>M29/M51</f>
        <v>0.5199157291932335</v>
      </c>
      <c r="N34" s="267"/>
      <c r="O34" s="267"/>
      <c r="P34" s="267"/>
      <c r="Q34" s="12">
        <f>Q29/Q51</f>
        <v>0.27184579031300565</v>
      </c>
      <c r="R34" s="267"/>
      <c r="S34" s="267"/>
      <c r="T34" s="267"/>
      <c r="U34" s="12">
        <f>U29/U51</f>
        <v>0.46916847190673894</v>
      </c>
      <c r="V34" s="267"/>
      <c r="W34" s="267"/>
      <c r="X34" s="267"/>
      <c r="Y34" s="12">
        <f aca="true" t="shared" si="6" ref="Y34:AI34">Y29/Y51</f>
        <v>0.5837906086375004</v>
      </c>
      <c r="Z34" s="12">
        <f t="shared" si="6"/>
        <v>0.4009669473491161</v>
      </c>
      <c r="AA34" s="12">
        <f t="shared" si="6"/>
        <v>0.5398509250632237</v>
      </c>
      <c r="AB34" s="12">
        <f t="shared" si="6"/>
        <v>0.48662665022413376</v>
      </c>
      <c r="AC34" s="12">
        <f t="shared" si="6"/>
        <v>0.46204094448161537</v>
      </c>
      <c r="AD34" s="12">
        <f t="shared" si="6"/>
        <v>0.4871318778278527</v>
      </c>
      <c r="AE34" s="12">
        <f t="shared" si="6"/>
        <v>0.5470340255446682</v>
      </c>
      <c r="AF34" s="12">
        <f t="shared" si="6"/>
        <v>0.5197220076910672</v>
      </c>
      <c r="AG34" s="12">
        <f t="shared" si="6"/>
        <v>0.5642798719443365</v>
      </c>
      <c r="AH34" s="12">
        <f t="shared" si="6"/>
        <v>0.6455882167094238</v>
      </c>
      <c r="AI34" s="12">
        <f t="shared" si="6"/>
        <v>0.4874110133162933</v>
      </c>
      <c r="AJ34" s="235"/>
      <c r="AK34" s="12">
        <f aca="true" t="shared" si="7" ref="AK34:AS34">AK29/AK51</f>
        <v>0.39272386715654495</v>
      </c>
      <c r="AL34" s="12">
        <f t="shared" si="7"/>
        <v>0.3946735529390324</v>
      </c>
      <c r="AM34" s="12">
        <f t="shared" si="7"/>
        <v>0.4985104582928322</v>
      </c>
      <c r="AN34" s="12">
        <f t="shared" si="7"/>
        <v>0.5199157291932335</v>
      </c>
      <c r="AO34" s="12">
        <f t="shared" si="7"/>
        <v>0.27184579031300565</v>
      </c>
      <c r="AP34" s="12">
        <f t="shared" si="7"/>
        <v>0.46916847190673894</v>
      </c>
      <c r="AQ34" s="12">
        <f t="shared" si="7"/>
        <v>0.5837906086375004</v>
      </c>
      <c r="AR34" s="12">
        <f t="shared" si="7"/>
        <v>0.46204094448161537</v>
      </c>
      <c r="AS34" s="12">
        <f t="shared" si="7"/>
        <v>0.5642798719443365</v>
      </c>
    </row>
    <row r="35" spans="1:45" s="36" customFormat="1" ht="12.75">
      <c r="A35" s="18"/>
      <c r="B35" s="27"/>
      <c r="C35" s="27"/>
      <c r="D35" s="27"/>
      <c r="E35" s="19"/>
      <c r="F35" s="27"/>
      <c r="G35" s="27"/>
      <c r="H35" s="28"/>
      <c r="I35" s="19"/>
      <c r="J35" s="26"/>
      <c r="K35" s="27"/>
      <c r="L35" s="19"/>
      <c r="M35" s="19"/>
      <c r="N35" s="44"/>
      <c r="O35" s="44"/>
      <c r="P35" s="44"/>
      <c r="Q35" s="44"/>
      <c r="R35" s="44"/>
      <c r="S35" s="44"/>
      <c r="T35" s="44"/>
      <c r="U35" s="44"/>
      <c r="V35" s="44"/>
      <c r="W35" s="44"/>
      <c r="X35" s="44"/>
      <c r="Y35" s="44"/>
      <c r="Z35" s="44"/>
      <c r="AA35" s="44"/>
      <c r="AB35" s="44"/>
      <c r="AC35" s="44"/>
      <c r="AD35" s="44"/>
      <c r="AE35" s="44"/>
      <c r="AF35" s="44"/>
      <c r="AG35" s="44"/>
      <c r="AH35" s="44"/>
      <c r="AI35" s="44"/>
      <c r="AJ35" s="44"/>
      <c r="AK35" s="19"/>
      <c r="AL35" s="19"/>
      <c r="AM35" s="19"/>
      <c r="AN35" s="19"/>
      <c r="AO35" s="19"/>
      <c r="AP35" s="19"/>
      <c r="AQ35" s="19"/>
      <c r="AR35" s="19"/>
      <c r="AS35" s="19"/>
    </row>
    <row r="36" spans="1:45" s="36" customFormat="1" ht="12.75">
      <c r="A36" s="2" t="s">
        <v>132</v>
      </c>
      <c r="B36" s="3" t="s">
        <v>6</v>
      </c>
      <c r="C36" s="4" t="s">
        <v>20</v>
      </c>
      <c r="D36" s="4" t="s">
        <v>21</v>
      </c>
      <c r="E36" s="3" t="s">
        <v>22</v>
      </c>
      <c r="F36" s="3" t="s">
        <v>0</v>
      </c>
      <c r="G36" s="3" t="s">
        <v>19</v>
      </c>
      <c r="H36" s="4" t="s">
        <v>18</v>
      </c>
      <c r="I36" s="3" t="s">
        <v>136</v>
      </c>
      <c r="J36" s="5" t="s">
        <v>160</v>
      </c>
      <c r="K36" s="3" t="s">
        <v>163</v>
      </c>
      <c r="L36" s="3" t="s">
        <v>164</v>
      </c>
      <c r="M36" s="3" t="s">
        <v>167</v>
      </c>
      <c r="N36" s="4" t="s">
        <v>172</v>
      </c>
      <c r="O36" s="4" t="s">
        <v>181</v>
      </c>
      <c r="P36" s="4" t="s">
        <v>183</v>
      </c>
      <c r="Q36" s="4" t="s">
        <v>185</v>
      </c>
      <c r="R36" s="4" t="s">
        <v>187</v>
      </c>
      <c r="S36" s="4" t="s">
        <v>202</v>
      </c>
      <c r="T36" s="4" t="s">
        <v>205</v>
      </c>
      <c r="U36" s="4" t="s">
        <v>206</v>
      </c>
      <c r="V36" s="4" t="s">
        <v>210</v>
      </c>
      <c r="W36" s="4" t="s">
        <v>211</v>
      </c>
      <c r="X36" s="4" t="s">
        <v>213</v>
      </c>
      <c r="Y36" s="4" t="s">
        <v>218</v>
      </c>
      <c r="Z36" s="4" t="s">
        <v>225</v>
      </c>
      <c r="AA36" s="4" t="s">
        <v>231</v>
      </c>
      <c r="AB36" s="4" t="s">
        <v>241</v>
      </c>
      <c r="AC36" s="4" t="s">
        <v>244</v>
      </c>
      <c r="AD36" s="4" t="s">
        <v>245</v>
      </c>
      <c r="AE36" s="4" t="s">
        <v>247</v>
      </c>
      <c r="AF36" s="4" t="s">
        <v>252</v>
      </c>
      <c r="AG36" s="4" t="s">
        <v>259</v>
      </c>
      <c r="AH36" s="4" t="s">
        <v>266</v>
      </c>
      <c r="AI36" s="4" t="s">
        <v>269</v>
      </c>
      <c r="AJ36" s="282"/>
      <c r="AK36" s="4">
        <v>2005</v>
      </c>
      <c r="AL36" s="4">
        <v>2006</v>
      </c>
      <c r="AM36" s="4">
        <v>2007</v>
      </c>
      <c r="AN36" s="4">
        <v>2008</v>
      </c>
      <c r="AO36" s="4">
        <v>2009</v>
      </c>
      <c r="AP36" s="4">
        <v>2010</v>
      </c>
      <c r="AQ36" s="4">
        <v>2011</v>
      </c>
      <c r="AR36" s="4">
        <v>2012</v>
      </c>
      <c r="AS36" s="4">
        <v>2013</v>
      </c>
    </row>
    <row r="37" spans="1:45" ht="22.5">
      <c r="A37" s="37" t="s">
        <v>52</v>
      </c>
      <c r="B37" s="23" t="s">
        <v>139</v>
      </c>
      <c r="C37" s="23" t="s">
        <v>139</v>
      </c>
      <c r="D37" s="23" t="s">
        <v>139</v>
      </c>
      <c r="E37" s="23">
        <v>80.456</v>
      </c>
      <c r="F37" s="23" t="s">
        <v>139</v>
      </c>
      <c r="G37" s="23" t="s">
        <v>139</v>
      </c>
      <c r="H37" s="23" t="s">
        <v>139</v>
      </c>
      <c r="I37" s="23">
        <v>98.876</v>
      </c>
      <c r="J37" s="23" t="s">
        <v>139</v>
      </c>
      <c r="K37" s="23" t="s">
        <v>139</v>
      </c>
      <c r="L37" s="23" t="s">
        <v>139</v>
      </c>
      <c r="M37" s="23">
        <v>122.193</v>
      </c>
      <c r="N37" s="23" t="s">
        <v>139</v>
      </c>
      <c r="O37" s="23" t="s">
        <v>139</v>
      </c>
      <c r="P37" s="23" t="s">
        <v>139</v>
      </c>
      <c r="Q37" s="23">
        <v>79.718</v>
      </c>
      <c r="R37" s="23" t="s">
        <v>139</v>
      </c>
      <c r="S37" s="23" t="s">
        <v>139</v>
      </c>
      <c r="T37" s="23" t="s">
        <v>139</v>
      </c>
      <c r="U37" s="23">
        <v>126.241</v>
      </c>
      <c r="V37" s="23" t="s">
        <v>139</v>
      </c>
      <c r="W37" s="23" t="s">
        <v>139</v>
      </c>
      <c r="X37" s="23" t="s">
        <v>139</v>
      </c>
      <c r="Y37" s="23">
        <v>219.94</v>
      </c>
      <c r="Z37" s="23" t="s">
        <v>139</v>
      </c>
      <c r="AA37" s="23" t="s">
        <v>139</v>
      </c>
      <c r="AB37" s="23" t="s">
        <v>139</v>
      </c>
      <c r="AC37" s="23">
        <v>230.01</v>
      </c>
      <c r="AD37" s="23" t="s">
        <v>139</v>
      </c>
      <c r="AE37" s="23" t="s">
        <v>139</v>
      </c>
      <c r="AF37" s="23" t="s">
        <v>139</v>
      </c>
      <c r="AG37" s="23">
        <v>125.663</v>
      </c>
      <c r="AH37" s="23" t="s">
        <v>139</v>
      </c>
      <c r="AI37" s="23" t="s">
        <v>139</v>
      </c>
      <c r="AJ37" s="23"/>
      <c r="AK37" s="8">
        <v>67.467</v>
      </c>
      <c r="AL37" s="23">
        <v>80.456</v>
      </c>
      <c r="AM37" s="38">
        <v>98.876</v>
      </c>
      <c r="AN37" s="38">
        <v>122.193</v>
      </c>
      <c r="AO37" s="38">
        <f>Q37</f>
        <v>79.718</v>
      </c>
      <c r="AP37" s="38">
        <f>U37</f>
        <v>126.241</v>
      </c>
      <c r="AQ37" s="38">
        <f>Y37</f>
        <v>219.94</v>
      </c>
      <c r="AR37" s="38">
        <f>AC37</f>
        <v>230.01</v>
      </c>
      <c r="AS37" s="38">
        <f>AG37</f>
        <v>125.663</v>
      </c>
    </row>
    <row r="38" spans="1:45" s="43" customFormat="1" ht="12.75">
      <c r="A38" s="9" t="s">
        <v>137</v>
      </c>
      <c r="B38" s="39"/>
      <c r="C38" s="40"/>
      <c r="D38" s="40"/>
      <c r="E38" s="41"/>
      <c r="F38" s="40"/>
      <c r="G38" s="40"/>
      <c r="H38" s="41"/>
      <c r="I38" s="41"/>
      <c r="J38" s="31"/>
      <c r="K38" s="40"/>
      <c r="L38" s="41"/>
      <c r="M38" s="41"/>
      <c r="N38" s="26"/>
      <c r="O38" s="26"/>
      <c r="P38" s="26"/>
      <c r="Q38" s="26"/>
      <c r="R38" s="26"/>
      <c r="S38" s="26"/>
      <c r="T38" s="26"/>
      <c r="U38" s="26"/>
      <c r="V38" s="26"/>
      <c r="W38" s="26"/>
      <c r="X38" s="26"/>
      <c r="Y38" s="26"/>
      <c r="Z38" s="26"/>
      <c r="AA38" s="26"/>
      <c r="AB38" s="26"/>
      <c r="AC38" s="26"/>
      <c r="AD38" s="26"/>
      <c r="AE38" s="26"/>
      <c r="AF38" s="26"/>
      <c r="AG38" s="26"/>
      <c r="AH38" s="26"/>
      <c r="AI38" s="26"/>
      <c r="AJ38" s="26"/>
      <c r="AK38" s="42"/>
      <c r="AL38" s="14">
        <v>0.19252375235300234</v>
      </c>
      <c r="AM38" s="14">
        <v>0.22894501342348605</v>
      </c>
      <c r="AN38" s="14">
        <v>0.2358206238116427</v>
      </c>
      <c r="AO38" s="14">
        <f>AO37/AN37-1</f>
        <v>-0.34760583666822154</v>
      </c>
      <c r="AP38" s="14">
        <f>AP37/AO37-1</f>
        <v>0.5835946712160365</v>
      </c>
      <c r="AQ38" s="14">
        <f>AQ37/AP37-1</f>
        <v>0.7422232079910647</v>
      </c>
      <c r="AR38" s="14">
        <f>AR37/AQ37-1</f>
        <v>0.04578521414931336</v>
      </c>
      <c r="AS38" s="14">
        <f>AS37/AR37-1</f>
        <v>-0.45366288422242507</v>
      </c>
    </row>
    <row r="39" spans="1:45" ht="12.75">
      <c r="A39" s="18"/>
      <c r="B39" s="19"/>
      <c r="C39" s="19"/>
      <c r="D39" s="19"/>
      <c r="E39" s="19"/>
      <c r="F39" s="19"/>
      <c r="G39" s="19"/>
      <c r="H39" s="27"/>
      <c r="I39" s="19"/>
      <c r="J39" s="44"/>
      <c r="K39" s="19"/>
      <c r="L39" s="19"/>
      <c r="M39" s="19"/>
      <c r="N39" s="44"/>
      <c r="O39" s="44"/>
      <c r="P39" s="44"/>
      <c r="Q39" s="44"/>
      <c r="R39" s="44"/>
      <c r="S39" s="44"/>
      <c r="T39" s="44"/>
      <c r="U39" s="44"/>
      <c r="V39" s="44"/>
      <c r="W39" s="44"/>
      <c r="X39" s="44"/>
      <c r="Y39" s="44"/>
      <c r="Z39" s="44"/>
      <c r="AA39" s="44"/>
      <c r="AB39" s="44"/>
      <c r="AC39" s="44"/>
      <c r="AD39" s="44"/>
      <c r="AE39" s="44"/>
      <c r="AF39" s="44"/>
      <c r="AG39" s="44"/>
      <c r="AH39" s="44"/>
      <c r="AI39" s="44"/>
      <c r="AJ39" s="44"/>
      <c r="AK39" s="27"/>
      <c r="AL39" s="27"/>
      <c r="AM39" s="27"/>
      <c r="AN39" s="27"/>
      <c r="AO39" s="27"/>
      <c r="AP39" s="27"/>
      <c r="AQ39" s="27"/>
      <c r="AR39" s="27"/>
      <c r="AS39" s="27"/>
    </row>
    <row r="40" spans="1:45" ht="12.75">
      <c r="A40" s="2" t="s">
        <v>263</v>
      </c>
      <c r="B40" s="3" t="s">
        <v>6</v>
      </c>
      <c r="C40" s="4" t="s">
        <v>20</v>
      </c>
      <c r="D40" s="4" t="s">
        <v>21</v>
      </c>
      <c r="E40" s="3" t="s">
        <v>22</v>
      </c>
      <c r="F40" s="3" t="s">
        <v>0</v>
      </c>
      <c r="G40" s="3" t="s">
        <v>19</v>
      </c>
      <c r="H40" s="4" t="s">
        <v>18</v>
      </c>
      <c r="I40" s="3" t="s">
        <v>136</v>
      </c>
      <c r="J40" s="5" t="s">
        <v>160</v>
      </c>
      <c r="K40" s="3" t="s">
        <v>163</v>
      </c>
      <c r="L40" s="3" t="s">
        <v>164</v>
      </c>
      <c r="M40" s="3" t="s">
        <v>167</v>
      </c>
      <c r="N40" s="4" t="s">
        <v>172</v>
      </c>
      <c r="O40" s="4" t="s">
        <v>181</v>
      </c>
      <c r="P40" s="4" t="s">
        <v>183</v>
      </c>
      <c r="Q40" s="4" t="s">
        <v>185</v>
      </c>
      <c r="R40" s="4" t="s">
        <v>187</v>
      </c>
      <c r="S40" s="4" t="s">
        <v>202</v>
      </c>
      <c r="T40" s="4" t="s">
        <v>205</v>
      </c>
      <c r="U40" s="4" t="s">
        <v>206</v>
      </c>
      <c r="V40" s="4" t="s">
        <v>210</v>
      </c>
      <c r="W40" s="4" t="s">
        <v>211</v>
      </c>
      <c r="X40" s="4" t="s">
        <v>213</v>
      </c>
      <c r="Y40" s="4" t="s">
        <v>218</v>
      </c>
      <c r="Z40" s="4" t="s">
        <v>225</v>
      </c>
      <c r="AA40" s="4" t="s">
        <v>231</v>
      </c>
      <c r="AB40" s="4" t="s">
        <v>241</v>
      </c>
      <c r="AC40" s="4" t="s">
        <v>244</v>
      </c>
      <c r="AD40" s="4" t="s">
        <v>245</v>
      </c>
      <c r="AE40" s="4" t="s">
        <v>247</v>
      </c>
      <c r="AF40" s="4" t="s">
        <v>252</v>
      </c>
      <c r="AG40" s="4" t="s">
        <v>259</v>
      </c>
      <c r="AH40" s="4" t="s">
        <v>266</v>
      </c>
      <c r="AI40" s="4" t="s">
        <v>269</v>
      </c>
      <c r="AJ40" s="282"/>
      <c r="AK40" s="4">
        <v>2005</v>
      </c>
      <c r="AL40" s="4">
        <v>2006</v>
      </c>
      <c r="AM40" s="4">
        <v>2007</v>
      </c>
      <c r="AN40" s="4">
        <v>2008</v>
      </c>
      <c r="AO40" s="4">
        <v>2009</v>
      </c>
      <c r="AP40" s="4">
        <v>2010</v>
      </c>
      <c r="AQ40" s="4">
        <v>2011</v>
      </c>
      <c r="AR40" s="4">
        <v>2012</v>
      </c>
      <c r="AS40" s="4">
        <v>2013</v>
      </c>
    </row>
    <row r="41" spans="1:45" ht="12.75">
      <c r="A41" s="18" t="s">
        <v>14</v>
      </c>
      <c r="B41" s="19">
        <v>0.27240617698598135</v>
      </c>
      <c r="C41" s="19">
        <v>0.3555562653974693</v>
      </c>
      <c r="D41" s="19">
        <v>0.4532900985397127</v>
      </c>
      <c r="E41" s="17">
        <v>0.4837411074011156</v>
      </c>
      <c r="F41" s="19">
        <v>0.5768848561398295</v>
      </c>
      <c r="G41" s="19">
        <v>0.5911050174920891</v>
      </c>
      <c r="H41" s="19">
        <v>0.5946875608994089</v>
      </c>
      <c r="I41" s="17">
        <v>0.588667107679015</v>
      </c>
      <c r="J41" s="17">
        <v>0.5881556530863222</v>
      </c>
      <c r="K41" s="17">
        <v>0.5924834165400885</v>
      </c>
      <c r="L41" s="17">
        <v>0.8749098421892437</v>
      </c>
      <c r="M41" s="17">
        <v>0.587744941501229</v>
      </c>
      <c r="N41" s="45">
        <f>N25/(N21+76.67)</f>
        <v>0.2689451722900215</v>
      </c>
      <c r="O41" s="45">
        <f>O25/(O21+187.961)</f>
        <v>0.2938255335561841</v>
      </c>
      <c r="P41" s="45">
        <f>P25/(P21+306.423)</f>
        <v>0.3197445674402649</v>
      </c>
      <c r="Q41" s="45">
        <f>Q25/(Q21+430.457)</f>
        <v>0.30997916399911535</v>
      </c>
      <c r="R41" s="45">
        <f>R25/(R21+139.68)</f>
        <v>0.40823923401076107</v>
      </c>
      <c r="S41" s="45">
        <f>S25/(S21+377.106)</f>
        <v>0.544832493186368</v>
      </c>
      <c r="T41" s="45">
        <f>T25/(T21+605.038)</f>
        <v>0.5839991706456644</v>
      </c>
      <c r="U41" s="45">
        <f>U25/(U21+831.257)</f>
        <v>0.5966814263533274</v>
      </c>
      <c r="V41" s="45">
        <f>V25/(V21+274.195)</f>
        <v>0.6672737775663462</v>
      </c>
      <c r="W41" s="45">
        <f>W25/(W21+638.164)</f>
        <v>0.6893916361315199</v>
      </c>
      <c r="X41" s="45">
        <f>X25/(X21+931.007)</f>
        <v>0.6917780981029233</v>
      </c>
      <c r="Y41" s="45">
        <f>Y25/(Y21+1290.944)</f>
        <v>0.6888822213054295</v>
      </c>
      <c r="Z41" s="45">
        <f>Z25/(Z21+280.584)</f>
        <v>0.6407401668916974</v>
      </c>
      <c r="AA41" s="45">
        <f>AA25/(AA21+554.994)</f>
        <v>0.640037268734194</v>
      </c>
      <c r="AB41" s="45">
        <f>AB25/(AB21+776.754)</f>
        <v>0.6110486555000071</v>
      </c>
      <c r="AC41" s="45">
        <f>AC25/(AC21+996.889)</f>
        <v>0.5928943345306935</v>
      </c>
      <c r="AD41" s="45">
        <f>AD25/(AD21+244.626)</f>
        <v>0.5848571182417478</v>
      </c>
      <c r="AE41" s="45">
        <f>AE25/(AE21+493.615)</f>
        <v>0.5911468279073022</v>
      </c>
      <c r="AF41" s="45">
        <f>AF25/(AF21+719.919)</f>
        <v>0.5790808583783849</v>
      </c>
      <c r="AG41" s="45">
        <f>AG25/(AG21+719.919)</f>
        <v>0.7218085043067257</v>
      </c>
      <c r="AH41" s="45">
        <f>AH25/(AH21+244.626)</f>
        <v>0.5801164980774207</v>
      </c>
      <c r="AI41" s="45">
        <f>AI25/(AI21+244.626)</f>
        <v>0.8030207705766097</v>
      </c>
      <c r="AJ41" s="45"/>
      <c r="AK41" s="19">
        <v>0.49974605575967146</v>
      </c>
      <c r="AL41" s="19">
        <v>0.4837411074011156</v>
      </c>
      <c r="AM41" s="19">
        <v>0.588667107679015</v>
      </c>
      <c r="AN41" s="19">
        <v>0.587744941501229</v>
      </c>
      <c r="AO41" s="19">
        <f>Q41</f>
        <v>0.30997916399911535</v>
      </c>
      <c r="AP41" s="19">
        <f>U41</f>
        <v>0.5966814263533274</v>
      </c>
      <c r="AQ41" s="19">
        <f>Y41</f>
        <v>0.6888822213054295</v>
      </c>
      <c r="AR41" s="19">
        <f>AC41</f>
        <v>0.5928943345306935</v>
      </c>
      <c r="AS41" s="19">
        <f>AG41</f>
        <v>0.7218085043067257</v>
      </c>
    </row>
    <row r="42" spans="1:45" s="48" customFormat="1" ht="12.75">
      <c r="A42" s="47" t="s">
        <v>149</v>
      </c>
      <c r="B42" s="21">
        <v>13.90606910756774</v>
      </c>
      <c r="C42" s="21">
        <v>13.771644129712746</v>
      </c>
      <c r="D42" s="21">
        <v>13.884004330194806</v>
      </c>
      <c r="E42" s="21">
        <v>13.971802603656947</v>
      </c>
      <c r="F42" s="21">
        <v>15.796646287035625</v>
      </c>
      <c r="G42" s="21">
        <v>15.762211740474243</v>
      </c>
      <c r="H42" s="21">
        <v>15.840350131931965</v>
      </c>
      <c r="I42" s="21">
        <v>16.513540364652954</v>
      </c>
      <c r="J42" s="23">
        <v>21</v>
      </c>
      <c r="K42" s="21">
        <v>21</v>
      </c>
      <c r="L42" s="21">
        <v>21.191393977131803</v>
      </c>
      <c r="M42" s="21">
        <v>20.922794960043085</v>
      </c>
      <c r="N42" s="21">
        <v>16.158639972556255</v>
      </c>
      <c r="O42" s="21">
        <v>15.138111381604853</v>
      </c>
      <c r="P42" s="21">
        <v>15</v>
      </c>
      <c r="Q42" s="21">
        <v>16</v>
      </c>
      <c r="R42" s="21">
        <v>17.28</v>
      </c>
      <c r="S42" s="21">
        <v>17.93</v>
      </c>
      <c r="T42" s="21">
        <v>17.9</v>
      </c>
      <c r="U42" s="21">
        <v>18</v>
      </c>
      <c r="V42" s="21">
        <v>22</v>
      </c>
      <c r="W42" s="21">
        <v>20</v>
      </c>
      <c r="X42" s="21">
        <v>21</v>
      </c>
      <c r="Y42" s="21">
        <v>20.745605743150826</v>
      </c>
      <c r="Z42" s="21">
        <v>20.80181188</v>
      </c>
      <c r="AA42" s="21">
        <v>21.469</v>
      </c>
      <c r="AB42" s="21">
        <v>21.1</v>
      </c>
      <c r="AC42" s="21">
        <v>21</v>
      </c>
      <c r="AD42" s="21">
        <v>23</v>
      </c>
      <c r="AE42" s="21">
        <v>21.8</v>
      </c>
      <c r="AF42" s="21">
        <v>22.683915300727975</v>
      </c>
      <c r="AG42" s="21">
        <v>22.51986662026263</v>
      </c>
      <c r="AH42" s="21">
        <v>18.960536808014762</v>
      </c>
      <c r="AI42" s="21">
        <v>18.960536808014762</v>
      </c>
      <c r="AJ42" s="242"/>
      <c r="AK42" s="21">
        <v>15.230332551746116</v>
      </c>
      <c r="AL42" s="21">
        <v>13.971802603656947</v>
      </c>
      <c r="AM42" s="21">
        <v>16.513540364652954</v>
      </c>
      <c r="AN42" s="21">
        <v>20.922794960043085</v>
      </c>
      <c r="AO42" s="21">
        <f>Q42</f>
        <v>16</v>
      </c>
      <c r="AP42" s="21">
        <f>U42</f>
        <v>18</v>
      </c>
      <c r="AQ42" s="21">
        <f>Y42</f>
        <v>20.745605743150826</v>
      </c>
      <c r="AR42" s="21">
        <f>AC42</f>
        <v>21</v>
      </c>
      <c r="AS42" s="21">
        <f>AG42</f>
        <v>22.51986662026263</v>
      </c>
    </row>
    <row r="43" spans="1:45" s="48" customFormat="1" ht="12.75">
      <c r="A43" s="318" t="s">
        <v>150</v>
      </c>
      <c r="B43" s="247">
        <v>10.22970441912229</v>
      </c>
      <c r="C43" s="247">
        <v>14.717772895657342</v>
      </c>
      <c r="D43" s="247">
        <v>19.83143195190297</v>
      </c>
      <c r="E43" s="247">
        <v>23.489665366215814</v>
      </c>
      <c r="F43" s="247">
        <v>36.89571673697858</v>
      </c>
      <c r="G43" s="247">
        <v>38.5898452661658</v>
      </c>
      <c r="H43" s="247">
        <v>39.23387829329735</v>
      </c>
      <c r="I43" s="247">
        <v>39.21719773620568</v>
      </c>
      <c r="J43" s="319">
        <v>45.74537610599808</v>
      </c>
      <c r="K43" s="247">
        <v>47.60218127512578</v>
      </c>
      <c r="L43" s="247">
        <v>47.858963415858554</v>
      </c>
      <c r="M43" s="247">
        <v>46.126495589635795</v>
      </c>
      <c r="N43" s="320">
        <f aca="true" t="shared" si="8" ref="N43:AG43">N25/N45*1000</f>
        <v>9.351404056162247</v>
      </c>
      <c r="O43" s="320">
        <f t="shared" si="8"/>
        <v>10.525618883131838</v>
      </c>
      <c r="P43" s="320">
        <f t="shared" si="8"/>
        <v>11.628790786948176</v>
      </c>
      <c r="Q43" s="320">
        <f t="shared" si="8"/>
        <v>11.518996467450075</v>
      </c>
      <c r="R43" s="320">
        <f t="shared" si="8"/>
        <v>18.77371352202846</v>
      </c>
      <c r="S43" s="320">
        <f t="shared" si="8"/>
        <v>33.39142645971914</v>
      </c>
      <c r="T43" s="320">
        <f t="shared" si="8"/>
        <v>37.6534922018793</v>
      </c>
      <c r="U43" s="320">
        <f t="shared" si="8"/>
        <v>39.37953458248926</v>
      </c>
      <c r="V43" s="320">
        <f t="shared" si="8"/>
        <v>59.544570575037625</v>
      </c>
      <c r="W43" s="320">
        <f t="shared" si="8"/>
        <v>66.45235161494782</v>
      </c>
      <c r="X43" s="320">
        <f t="shared" si="8"/>
        <v>67.42555113841705</v>
      </c>
      <c r="Y43" s="320">
        <f t="shared" si="8"/>
        <v>66.72097513066994</v>
      </c>
      <c r="Z43" s="320">
        <f t="shared" si="8"/>
        <v>58.19529006318208</v>
      </c>
      <c r="AA43" s="320">
        <f t="shared" si="8"/>
        <v>58.54626623376623</v>
      </c>
      <c r="AB43" s="320">
        <f t="shared" si="8"/>
        <v>54.21291073507029</v>
      </c>
      <c r="AC43" s="320">
        <f t="shared" si="8"/>
        <v>50.08615759262619</v>
      </c>
      <c r="AD43" s="320">
        <f t="shared" si="8"/>
        <v>52.54063979135825</v>
      </c>
      <c r="AE43" s="320">
        <f t="shared" si="8"/>
        <v>53.28975032851511</v>
      </c>
      <c r="AF43" s="320">
        <f t="shared" si="8"/>
        <v>50.39845872061707</v>
      </c>
      <c r="AG43" s="320">
        <f t="shared" si="8"/>
        <v>51.07507305157993</v>
      </c>
      <c r="AH43" s="320">
        <f>AH25/AH45*1000</f>
        <v>49.80909325755619</v>
      </c>
      <c r="AI43" s="320">
        <f>AI25/AI45*1000</f>
        <v>93.3128390596745</v>
      </c>
      <c r="AJ43" s="23"/>
      <c r="AK43" s="247">
        <v>23.263500156132533</v>
      </c>
      <c r="AL43" s="247">
        <v>23.489665366215814</v>
      </c>
      <c r="AM43" s="247">
        <v>39.21719773620568</v>
      </c>
      <c r="AN43" s="247">
        <v>46.126495589635795</v>
      </c>
      <c r="AO43" s="247">
        <f>Q43</f>
        <v>11.518996467450075</v>
      </c>
      <c r="AP43" s="247">
        <f>U43</f>
        <v>39.37953458248926</v>
      </c>
      <c r="AQ43" s="247">
        <f>Y43</f>
        <v>66.72097513066994</v>
      </c>
      <c r="AR43" s="247">
        <f>AC43</f>
        <v>50.08615759262619</v>
      </c>
      <c r="AS43" s="247">
        <f>AG43</f>
        <v>51.07507305157993</v>
      </c>
    </row>
    <row r="44" spans="5:36" ht="12.75">
      <c r="E44" s="48"/>
      <c r="I44" s="48"/>
      <c r="L44" s="48"/>
      <c r="M44" s="48"/>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row>
    <row r="45" spans="1:45" s="48" customFormat="1" ht="12.75">
      <c r="A45" s="318" t="s">
        <v>159</v>
      </c>
      <c r="B45" s="247">
        <v>2917.67961</v>
      </c>
      <c r="C45" s="247">
        <v>6050.37193</v>
      </c>
      <c r="D45" s="247">
        <v>9241.238879999999</v>
      </c>
      <c r="E45" s="319">
        <v>12656.03385</v>
      </c>
      <c r="F45" s="247">
        <v>3367.0846100000003</v>
      </c>
      <c r="G45" s="247">
        <v>6602.695560000001</v>
      </c>
      <c r="H45" s="247">
        <v>9800.203720000001</v>
      </c>
      <c r="I45" s="319">
        <v>13342.233259999999</v>
      </c>
      <c r="J45" s="319">
        <v>4773</v>
      </c>
      <c r="K45" s="319">
        <v>6629.15</v>
      </c>
      <c r="L45" s="319">
        <v>9910.223</v>
      </c>
      <c r="M45" s="319">
        <v>11890.628</v>
      </c>
      <c r="N45" s="247">
        <v>2564</v>
      </c>
      <c r="O45" s="247">
        <v>6948</v>
      </c>
      <c r="P45" s="247">
        <v>10420</v>
      </c>
      <c r="Q45" s="247">
        <v>13871</v>
      </c>
      <c r="R45" s="247">
        <v>3318.0436000000004</v>
      </c>
      <c r="S45" s="247">
        <v>6765</v>
      </c>
      <c r="T45" s="247">
        <v>10323</v>
      </c>
      <c r="U45" s="247">
        <v>13828.09639</v>
      </c>
      <c r="V45" s="247">
        <v>3297.89934</v>
      </c>
      <c r="W45" s="247">
        <v>7199.8054</v>
      </c>
      <c r="X45" s="247">
        <v>11068</v>
      </c>
      <c r="Y45" s="247">
        <v>14865.7</v>
      </c>
      <c r="Z45" s="247">
        <v>3482</v>
      </c>
      <c r="AA45" s="247">
        <v>7392</v>
      </c>
      <c r="AB45" s="247">
        <v>11169</v>
      </c>
      <c r="AC45" s="247">
        <v>15834.594589000002</v>
      </c>
      <c r="AD45" s="247">
        <v>3746.9471399999998</v>
      </c>
      <c r="AE45" s="247">
        <v>7610</v>
      </c>
      <c r="AF45" s="247">
        <v>11470.529351</v>
      </c>
      <c r="AG45" s="247">
        <v>15434.3</v>
      </c>
      <c r="AH45" s="247">
        <v>3871</v>
      </c>
      <c r="AI45" s="247">
        <v>3871</v>
      </c>
      <c r="AJ45" s="21"/>
      <c r="AK45" s="247">
        <v>11927.654830000001</v>
      </c>
      <c r="AL45" s="247">
        <v>12656.03385</v>
      </c>
      <c r="AM45" s="247">
        <v>13342.233259999999</v>
      </c>
      <c r="AN45" s="319">
        <v>11890.628</v>
      </c>
      <c r="AO45" s="247">
        <f>Q45</f>
        <v>13871</v>
      </c>
      <c r="AP45" s="247">
        <f>U45</f>
        <v>13828.09639</v>
      </c>
      <c r="AQ45" s="247">
        <f>Y45</f>
        <v>14865.7</v>
      </c>
      <c r="AR45" s="247">
        <f>AC45</f>
        <v>15834.594589000002</v>
      </c>
      <c r="AS45" s="247">
        <f>AG45</f>
        <v>15434.3</v>
      </c>
    </row>
    <row r="46" spans="14:36" ht="12.75">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row>
    <row r="47" spans="1:35" ht="12.75">
      <c r="A47" s="49" t="s">
        <v>228</v>
      </c>
      <c r="N47" s="50"/>
      <c r="O47" s="50"/>
      <c r="P47" s="50"/>
      <c r="Q47" s="50"/>
      <c r="R47" s="50"/>
      <c r="S47" s="50"/>
      <c r="T47" s="50"/>
      <c r="U47" s="50"/>
      <c r="V47" s="50"/>
      <c r="W47" s="50"/>
      <c r="X47" s="50"/>
      <c r="Y47" s="50"/>
      <c r="Z47" s="50"/>
      <c r="AA47" s="50"/>
      <c r="AB47" s="50"/>
      <c r="AC47" s="50"/>
      <c r="AD47" s="50"/>
      <c r="AE47" s="50"/>
      <c r="AF47" s="50"/>
      <c r="AG47" s="50"/>
      <c r="AH47" s="50"/>
      <c r="AI47" s="50"/>
    </row>
    <row r="48" spans="1:35" ht="12.75">
      <c r="A48" s="49" t="s">
        <v>229</v>
      </c>
      <c r="N48" s="50"/>
      <c r="O48" s="50"/>
      <c r="P48" s="50"/>
      <c r="Q48" s="50"/>
      <c r="R48" s="50"/>
      <c r="S48" s="50"/>
      <c r="T48" s="50"/>
      <c r="U48" s="50"/>
      <c r="V48" s="50"/>
      <c r="W48" s="50"/>
      <c r="X48" s="50"/>
      <c r="Y48" s="50"/>
      <c r="Z48" s="50"/>
      <c r="AA48" s="50"/>
      <c r="AB48" s="50"/>
      <c r="AC48" s="50"/>
      <c r="AD48" s="50"/>
      <c r="AE48" s="50"/>
      <c r="AF48" s="50"/>
      <c r="AG48" s="50"/>
      <c r="AH48" s="50"/>
      <c r="AI48" s="50"/>
    </row>
    <row r="50" spans="1:45" s="334" customFormat="1" ht="12.75" hidden="1" outlineLevel="1">
      <c r="A50" s="336" t="s">
        <v>273</v>
      </c>
      <c r="B50" s="330"/>
      <c r="C50" s="331"/>
      <c r="D50" s="332"/>
      <c r="E50" s="332">
        <v>523.558</v>
      </c>
      <c r="F50" s="330"/>
      <c r="G50" s="330"/>
      <c r="I50" s="332">
        <v>783.422</v>
      </c>
      <c r="J50" s="332">
        <v>0</v>
      </c>
      <c r="K50" s="332">
        <v>0</v>
      </c>
      <c r="L50" s="332">
        <v>0</v>
      </c>
      <c r="M50" s="332">
        <v>870.296</v>
      </c>
      <c r="N50" s="332">
        <v>0</v>
      </c>
      <c r="O50" s="332">
        <v>0</v>
      </c>
      <c r="P50" s="332">
        <v>0</v>
      </c>
      <c r="Q50" s="332">
        <v>430.457</v>
      </c>
      <c r="R50" s="332">
        <v>0</v>
      </c>
      <c r="S50" s="332">
        <v>0</v>
      </c>
      <c r="T50" s="332">
        <v>0</v>
      </c>
      <c r="U50" s="332">
        <v>831.257</v>
      </c>
      <c r="V50" s="332">
        <v>0</v>
      </c>
      <c r="W50" s="332">
        <v>0</v>
      </c>
      <c r="X50" s="332">
        <v>0</v>
      </c>
      <c r="Y50" s="332">
        <v>1290.9436271164718</v>
      </c>
      <c r="Z50" s="332">
        <v>280.584</v>
      </c>
      <c r="AA50" s="332">
        <v>554.994</v>
      </c>
      <c r="AB50" s="332">
        <v>776.754</v>
      </c>
      <c r="AC50" s="332">
        <v>996.889</v>
      </c>
      <c r="AD50" s="332">
        <v>244.626</v>
      </c>
      <c r="AE50" s="332">
        <v>493.615</v>
      </c>
      <c r="AF50" s="332">
        <v>719.919</v>
      </c>
      <c r="AG50" s="332">
        <v>978.765</v>
      </c>
      <c r="AH50" s="332">
        <v>228.776</v>
      </c>
      <c r="AI50" s="332">
        <v>417.653</v>
      </c>
      <c r="AJ50" s="332"/>
      <c r="AK50" s="332">
        <v>460.579</v>
      </c>
      <c r="AL50" s="332">
        <f>E50</f>
        <v>523.558</v>
      </c>
      <c r="AM50" s="332">
        <f>I50</f>
        <v>783.422</v>
      </c>
      <c r="AN50" s="332">
        <f>M50</f>
        <v>870.296</v>
      </c>
      <c r="AO50" s="332">
        <f>Q50</f>
        <v>430.457</v>
      </c>
      <c r="AP50" s="332">
        <f>U50</f>
        <v>831.257</v>
      </c>
      <c r="AQ50" s="332">
        <f>Y50</f>
        <v>1290.9436271164718</v>
      </c>
      <c r="AR50" s="332">
        <f>AC50</f>
        <v>996.889</v>
      </c>
      <c r="AS50" s="332">
        <f>AG50</f>
        <v>978.765</v>
      </c>
    </row>
    <row r="51" spans="1:45" s="334" customFormat="1" ht="12.75" hidden="1" outlineLevel="1">
      <c r="A51" s="336" t="s">
        <v>274</v>
      </c>
      <c r="B51" s="330"/>
      <c r="C51" s="331"/>
      <c r="D51" s="331"/>
      <c r="E51" s="332">
        <f>E50+E21</f>
        <v>614.556</v>
      </c>
      <c r="F51" s="330"/>
      <c r="G51" s="330"/>
      <c r="H51" s="332"/>
      <c r="I51" s="332">
        <f>I50+I21</f>
        <v>888.864</v>
      </c>
      <c r="J51" s="333"/>
      <c r="K51" s="333"/>
      <c r="L51" s="333"/>
      <c r="M51" s="332">
        <f aca="true" t="shared" si="9" ref="M51:AI51">M50+M21</f>
        <v>933.182</v>
      </c>
      <c r="N51" s="332">
        <f t="shared" si="9"/>
        <v>12.482</v>
      </c>
      <c r="O51" s="332">
        <f t="shared" si="9"/>
        <v>60.935</v>
      </c>
      <c r="P51" s="332">
        <f t="shared" si="9"/>
        <v>72.542</v>
      </c>
      <c r="Q51" s="332">
        <f t="shared" si="9"/>
        <v>515.454</v>
      </c>
      <c r="R51" s="332">
        <f t="shared" si="9"/>
        <v>12.907</v>
      </c>
      <c r="S51" s="332">
        <f t="shared" si="9"/>
        <v>37.504</v>
      </c>
      <c r="T51" s="332">
        <f t="shared" si="9"/>
        <v>60.54</v>
      </c>
      <c r="U51" s="332">
        <f t="shared" si="9"/>
        <v>912.621</v>
      </c>
      <c r="V51" s="332">
        <f t="shared" si="9"/>
        <v>20.095</v>
      </c>
      <c r="W51" s="332">
        <f t="shared" si="9"/>
        <v>55.845</v>
      </c>
      <c r="X51" s="332">
        <f t="shared" si="9"/>
        <v>147.758</v>
      </c>
      <c r="Y51" s="332">
        <f t="shared" si="9"/>
        <v>1439.8016271164718</v>
      </c>
      <c r="Z51" s="332">
        <f t="shared" si="9"/>
        <v>316.253</v>
      </c>
      <c r="AA51" s="332">
        <f t="shared" si="9"/>
        <v>676.1700000000001</v>
      </c>
      <c r="AB51" s="332">
        <f t="shared" si="9"/>
        <v>990.926</v>
      </c>
      <c r="AC51" s="332">
        <f t="shared" si="9"/>
        <v>1337.665</v>
      </c>
      <c r="AD51" s="332">
        <f t="shared" si="9"/>
        <v>336.60699999999997</v>
      </c>
      <c r="AE51" s="332">
        <f t="shared" si="9"/>
        <v>686.014</v>
      </c>
      <c r="AF51" s="332">
        <f t="shared" si="9"/>
        <v>998.3009999999999</v>
      </c>
      <c r="AG51" s="332">
        <f t="shared" si="9"/>
        <v>1350.975</v>
      </c>
      <c r="AH51" s="332">
        <f t="shared" si="9"/>
        <v>316.516</v>
      </c>
      <c r="AI51" s="332">
        <f t="shared" si="9"/>
        <v>622.846</v>
      </c>
      <c r="AJ51" s="332"/>
      <c r="AK51" s="332">
        <f aca="true" t="shared" si="10" ref="AK51:AS51">AK50+AK21</f>
        <v>555.24</v>
      </c>
      <c r="AL51" s="332">
        <f t="shared" si="10"/>
        <v>614.556</v>
      </c>
      <c r="AM51" s="332">
        <f t="shared" si="10"/>
        <v>888.864</v>
      </c>
      <c r="AN51" s="332">
        <f t="shared" si="10"/>
        <v>933.182</v>
      </c>
      <c r="AO51" s="332">
        <f t="shared" si="10"/>
        <v>515.454</v>
      </c>
      <c r="AP51" s="332">
        <f t="shared" si="10"/>
        <v>912.621</v>
      </c>
      <c r="AQ51" s="332">
        <f t="shared" si="10"/>
        <v>1439.8016271164718</v>
      </c>
      <c r="AR51" s="332">
        <f t="shared" si="10"/>
        <v>1337.665</v>
      </c>
      <c r="AS51" s="332">
        <f t="shared" si="10"/>
        <v>1350.975</v>
      </c>
    </row>
    <row r="52" ht="12.75" collapsed="1"/>
  </sheetData>
  <sheetProtection/>
  <printOptions/>
  <pageMargins left="0.25" right="0.25" top="0.75" bottom="0.75" header="0.3" footer="0.3"/>
  <pageSetup fitToHeight="1" fitToWidth="1" horizontalDpi="600" verticalDpi="600" orientation="landscape" paperSize="9" scale="74" r:id="rId1"/>
  <ignoredErrors>
    <ignoredError sqref="AO6:AO8 AO14:AO17 AO22 AP6:AP9 AO9 AP14:AP17 AP22 AQ26 AQ12:AQ18 AQ7:AQ10 AQ6:AR6 AQ11:AR11 AR7:AR10 AR13:AR18 AQ35:AQ38 AQ19:AQ22 AR19 AO24 AP24 AQ24 AR24 AP26 AR21:AR22"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AS58"/>
  <sheetViews>
    <sheetView showGridLines="0" view="pageBreakPreview" zoomScaleSheetLayoutView="100" zoomScalePageLayoutView="0" workbookViewId="0" topLeftCell="A19">
      <selection activeCell="J34" sqref="J34"/>
    </sheetView>
  </sheetViews>
  <sheetFormatPr defaultColWidth="9.140625" defaultRowHeight="12.75" outlineLevelRow="1" outlineLevelCol="1"/>
  <cols>
    <col min="1" max="1" width="36.421875" style="284" customWidth="1"/>
    <col min="2" max="4" width="6.28125" style="285" hidden="1" customWidth="1" outlineLevel="1"/>
    <col min="5" max="5" width="6.28125" style="285" customWidth="1" collapsed="1"/>
    <col min="6" max="15" width="6.28125" style="285" customWidth="1"/>
    <col min="16" max="16" width="9.140625" style="284" customWidth="1"/>
    <col min="17" max="22" width="6.28125" style="285" hidden="1" customWidth="1" outlineLevel="1"/>
    <col min="23" max="23" width="6.28125" style="285" customWidth="1" collapsed="1"/>
    <col min="24" max="25" width="6.28125" style="285" customWidth="1"/>
    <col min="26" max="16384" width="9.140625" style="284" customWidth="1"/>
  </cols>
  <sheetData>
    <row r="1" ht="12.75">
      <c r="A1" s="284" t="s">
        <v>239</v>
      </c>
    </row>
    <row r="3" spans="1:25" ht="12.75">
      <c r="A3" s="286" t="s">
        <v>232</v>
      </c>
      <c r="B3" s="4" t="s">
        <v>210</v>
      </c>
      <c r="C3" s="4" t="s">
        <v>211</v>
      </c>
      <c r="D3" s="4" t="s">
        <v>213</v>
      </c>
      <c r="E3" s="4" t="s">
        <v>218</v>
      </c>
      <c r="F3" s="4" t="s">
        <v>225</v>
      </c>
      <c r="G3" s="4" t="s">
        <v>231</v>
      </c>
      <c r="H3" s="4" t="s">
        <v>241</v>
      </c>
      <c r="I3" s="4" t="s">
        <v>244</v>
      </c>
      <c r="J3" s="4" t="s">
        <v>245</v>
      </c>
      <c r="K3" s="4" t="s">
        <v>247</v>
      </c>
      <c r="L3" s="4" t="s">
        <v>252</v>
      </c>
      <c r="M3" s="4" t="s">
        <v>259</v>
      </c>
      <c r="N3" s="4" t="s">
        <v>266</v>
      </c>
      <c r="O3" s="4" t="s">
        <v>269</v>
      </c>
      <c r="Q3" s="4">
        <v>2005</v>
      </c>
      <c r="R3" s="4">
        <v>2006</v>
      </c>
      <c r="S3" s="4">
        <v>2007</v>
      </c>
      <c r="T3" s="4">
        <v>2008</v>
      </c>
      <c r="U3" s="4">
        <v>2009</v>
      </c>
      <c r="V3" s="4">
        <v>2010</v>
      </c>
      <c r="W3" s="4">
        <v>2011</v>
      </c>
      <c r="X3" s="4">
        <v>2012</v>
      </c>
      <c r="Y3" s="4">
        <v>2013</v>
      </c>
    </row>
    <row r="4" spans="1:25" ht="12.75">
      <c r="A4" s="287" t="s">
        <v>233</v>
      </c>
      <c r="B4" s="288">
        <f aca="true" t="shared" si="0" ref="B4:G4">B6+B8+B10</f>
        <v>281.6445076</v>
      </c>
      <c r="C4" s="288">
        <f t="shared" si="0"/>
        <v>534.1743160000001</v>
      </c>
      <c r="D4" s="288">
        <f t="shared" si="0"/>
        <v>1475.12733957428</v>
      </c>
      <c r="E4" s="288">
        <f t="shared" si="0"/>
        <v>2435.49478011696</v>
      </c>
      <c r="F4" s="288">
        <f t="shared" si="0"/>
        <v>1129.3118326847218</v>
      </c>
      <c r="G4" s="288">
        <f t="shared" si="0"/>
        <v>2256.8162792951207</v>
      </c>
      <c r="H4" s="288">
        <v>3169.81471450312</v>
      </c>
      <c r="I4" s="288">
        <v>3983.1649517224</v>
      </c>
      <c r="J4" s="288">
        <v>959.3249458035812</v>
      </c>
      <c r="K4" s="288">
        <v>1899.997781101182</v>
      </c>
      <c r="L4" s="288">
        <v>2844.628875253982</v>
      </c>
      <c r="M4" s="288">
        <v>3385.963509547202</v>
      </c>
      <c r="N4" s="288">
        <v>557.12701413175</v>
      </c>
      <c r="O4" s="288">
        <v>1201.08878764405</v>
      </c>
      <c r="Q4" s="288"/>
      <c r="R4" s="288"/>
      <c r="S4" s="288"/>
      <c r="T4" s="288"/>
      <c r="U4" s="288"/>
      <c r="V4" s="288"/>
      <c r="W4" s="288">
        <f>E4</f>
        <v>2435.49478011696</v>
      </c>
      <c r="X4" s="288">
        <f>I4</f>
        <v>3983.1649517224</v>
      </c>
      <c r="Y4" s="288">
        <f>M4</f>
        <v>3385.963509547202</v>
      </c>
    </row>
    <row r="5" spans="1:25" s="290" customFormat="1" ht="12.75">
      <c r="A5" s="289" t="s">
        <v>137</v>
      </c>
      <c r="B5" s="13"/>
      <c r="C5" s="13"/>
      <c r="D5" s="13"/>
      <c r="E5" s="13"/>
      <c r="F5" s="13"/>
      <c r="G5" s="13"/>
      <c r="H5" s="13"/>
      <c r="I5" s="13"/>
      <c r="J5" s="13"/>
      <c r="K5" s="13"/>
      <c r="L5" s="13"/>
      <c r="M5" s="13"/>
      <c r="N5" s="13"/>
      <c r="O5" s="13"/>
      <c r="Q5" s="13"/>
      <c r="R5" s="13"/>
      <c r="S5" s="13"/>
      <c r="T5" s="13"/>
      <c r="U5" s="13"/>
      <c r="V5" s="13"/>
      <c r="W5" s="13"/>
      <c r="X5" s="14">
        <f>X4/W4-1</f>
        <v>0.6354643763724741</v>
      </c>
      <c r="Y5" s="14">
        <f>Y4/X4-1</f>
        <v>-0.1499313860745225</v>
      </c>
    </row>
    <row r="6" spans="1:25" s="290" customFormat="1" ht="12.75">
      <c r="A6" s="291" t="s">
        <v>28</v>
      </c>
      <c r="B6" s="212">
        <v>8.5612464</v>
      </c>
      <c r="C6" s="212">
        <v>16.379</v>
      </c>
      <c r="D6" s="212">
        <v>20.005487293544014</v>
      </c>
      <c r="E6" s="212">
        <v>36.203126699848006</v>
      </c>
      <c r="F6" s="212">
        <v>15.410923000000002</v>
      </c>
      <c r="G6" s="212">
        <v>30.72896916800001</v>
      </c>
      <c r="H6" s="212">
        <v>44.32807916800003</v>
      </c>
      <c r="I6" s="212">
        <v>64.23699464800006</v>
      </c>
      <c r="J6" s="212">
        <v>19.713224040839993</v>
      </c>
      <c r="K6" s="212">
        <v>41.84937245443999</v>
      </c>
      <c r="L6" s="212">
        <v>64.64797638883998</v>
      </c>
      <c r="M6" s="212">
        <v>64.74677033439998</v>
      </c>
      <c r="N6" s="212">
        <v>1.5215669693999985</v>
      </c>
      <c r="O6" s="212">
        <v>4.285805023649999</v>
      </c>
      <c r="Q6" s="212"/>
      <c r="R6" s="212"/>
      <c r="S6" s="212"/>
      <c r="T6" s="212"/>
      <c r="U6" s="212"/>
      <c r="V6" s="212"/>
      <c r="W6" s="212">
        <f>E6</f>
        <v>36.203126699848006</v>
      </c>
      <c r="X6" s="212">
        <f>I6</f>
        <v>64.23699464800006</v>
      </c>
      <c r="Y6" s="212">
        <f>M6</f>
        <v>64.74677033439998</v>
      </c>
    </row>
    <row r="7" spans="1:25" s="290" customFormat="1" ht="12.75">
      <c r="A7" s="289" t="s">
        <v>137</v>
      </c>
      <c r="B7" s="13"/>
      <c r="C7" s="13"/>
      <c r="D7" s="13"/>
      <c r="E7" s="13"/>
      <c r="F7" s="13"/>
      <c r="G7" s="13"/>
      <c r="H7" s="13"/>
      <c r="I7" s="13"/>
      <c r="J7" s="13"/>
      <c r="K7" s="13"/>
      <c r="L7" s="13"/>
      <c r="M7" s="13"/>
      <c r="N7" s="13"/>
      <c r="O7" s="13"/>
      <c r="Q7" s="13"/>
      <c r="R7" s="13"/>
      <c r="S7" s="13"/>
      <c r="T7" s="13"/>
      <c r="U7" s="13"/>
      <c r="V7" s="13"/>
      <c r="W7" s="13"/>
      <c r="X7" s="14">
        <f>X6/W6-1</f>
        <v>0.7743493588433552</v>
      </c>
      <c r="Y7" s="14">
        <f>Y6/X6-1</f>
        <v>0.007935858288410591</v>
      </c>
    </row>
    <row r="8" spans="1:25" s="290" customFormat="1" ht="12.75">
      <c r="A8" s="291" t="s">
        <v>221</v>
      </c>
      <c r="B8" s="212">
        <v>103.44956200000001</v>
      </c>
      <c r="C8" s="212">
        <v>209.29631600000002</v>
      </c>
      <c r="D8" s="212">
        <v>453.502426</v>
      </c>
      <c r="E8" s="212">
        <v>695.8171289999999</v>
      </c>
      <c r="F8" s="212">
        <v>291.721091</v>
      </c>
      <c r="G8" s="212">
        <v>551.7939409999988</v>
      </c>
      <c r="H8" s="212">
        <v>760.8175799999977</v>
      </c>
      <c r="I8" s="212">
        <v>923.5705139999998</v>
      </c>
      <c r="J8" s="212">
        <v>223.79983500000156</v>
      </c>
      <c r="K8" s="212">
        <v>458.7581630000023</v>
      </c>
      <c r="L8" s="212">
        <v>689.2253049240024</v>
      </c>
      <c r="M8" s="212">
        <v>779.2343049240025</v>
      </c>
      <c r="N8" s="212">
        <v>99.517</v>
      </c>
      <c r="O8" s="212">
        <v>202.67170299999998</v>
      </c>
      <c r="Q8" s="212"/>
      <c r="R8" s="212"/>
      <c r="S8" s="212"/>
      <c r="T8" s="212"/>
      <c r="U8" s="212"/>
      <c r="V8" s="212"/>
      <c r="W8" s="212">
        <f>E8</f>
        <v>695.8171289999999</v>
      </c>
      <c r="X8" s="212">
        <f>I8</f>
        <v>923.5705139999998</v>
      </c>
      <c r="Y8" s="212">
        <f>M8</f>
        <v>779.2343049240025</v>
      </c>
    </row>
    <row r="9" spans="1:25" s="290" customFormat="1" ht="12.75">
      <c r="A9" s="289" t="s">
        <v>137</v>
      </c>
      <c r="B9" s="13"/>
      <c r="C9" s="13"/>
      <c r="D9" s="13"/>
      <c r="E9" s="13"/>
      <c r="F9" s="13"/>
      <c r="G9" s="13"/>
      <c r="H9" s="13"/>
      <c r="I9" s="13"/>
      <c r="J9" s="13"/>
      <c r="K9" s="13"/>
      <c r="L9" s="13"/>
      <c r="M9" s="13"/>
      <c r="N9" s="13"/>
      <c r="O9" s="13"/>
      <c r="Q9" s="13"/>
      <c r="R9" s="13"/>
      <c r="S9" s="13"/>
      <c r="T9" s="13"/>
      <c r="U9" s="13"/>
      <c r="V9" s="13"/>
      <c r="W9" s="13"/>
      <c r="X9" s="14">
        <f>X8/W8-1</f>
        <v>0.32731787636116083</v>
      </c>
      <c r="Y9" s="14">
        <f>Y8/X8-1</f>
        <v>-0.15628065955773607</v>
      </c>
    </row>
    <row r="10" spans="1:25" s="290" customFormat="1" ht="12.75">
      <c r="A10" s="291" t="s">
        <v>135</v>
      </c>
      <c r="B10" s="212">
        <v>169.63369919999997</v>
      </c>
      <c r="C10" s="212">
        <v>308.499</v>
      </c>
      <c r="D10" s="212">
        <v>1001.619426280736</v>
      </c>
      <c r="E10" s="212">
        <v>1703.4745244171122</v>
      </c>
      <c r="F10" s="212">
        <v>822.1798186847218</v>
      </c>
      <c r="G10" s="212">
        <v>1674.2933691271219</v>
      </c>
      <c r="H10" s="212">
        <v>2365.784177280193</v>
      </c>
      <c r="I10" s="212">
        <v>2995.3574430744</v>
      </c>
      <c r="J10" s="212">
        <v>715.8118867627395</v>
      </c>
      <c r="K10" s="212">
        <v>1399.3902456467397</v>
      </c>
      <c r="L10" s="212">
        <v>2090.7555939411395</v>
      </c>
      <c r="M10" s="212">
        <v>2542</v>
      </c>
      <c r="N10" s="212">
        <v>456</v>
      </c>
      <c r="O10" s="212">
        <v>994.1312796204</v>
      </c>
      <c r="Q10" s="212"/>
      <c r="R10" s="212"/>
      <c r="S10" s="212"/>
      <c r="T10" s="212"/>
      <c r="U10" s="212"/>
      <c r="V10" s="212"/>
      <c r="W10" s="212">
        <f>E10</f>
        <v>1703.4745244171122</v>
      </c>
      <c r="X10" s="212">
        <f>I10</f>
        <v>2995.3574430744</v>
      </c>
      <c r="Y10" s="212">
        <f>M10</f>
        <v>2542</v>
      </c>
    </row>
    <row r="11" spans="1:25" s="290" customFormat="1" ht="12.75">
      <c r="A11" s="289" t="s">
        <v>137</v>
      </c>
      <c r="B11" s="13"/>
      <c r="C11" s="13"/>
      <c r="D11" s="13"/>
      <c r="E11" s="13"/>
      <c r="F11" s="13"/>
      <c r="G11" s="13"/>
      <c r="H11" s="13"/>
      <c r="I11" s="13"/>
      <c r="J11" s="13"/>
      <c r="K11" s="13"/>
      <c r="L11" s="13"/>
      <c r="M11" s="13"/>
      <c r="N11" s="13"/>
      <c r="O11" s="13"/>
      <c r="Q11" s="13"/>
      <c r="R11" s="13"/>
      <c r="S11" s="13"/>
      <c r="T11" s="13"/>
      <c r="U11" s="13"/>
      <c r="V11" s="13"/>
      <c r="W11" s="13"/>
      <c r="X11" s="14">
        <f>X10/W10-1</f>
        <v>0.758381120550857</v>
      </c>
      <c r="Y11" s="14">
        <f>Y10/X10-1</f>
        <v>-0.15135336990335257</v>
      </c>
    </row>
    <row r="12" spans="1:25" s="290" customFormat="1" ht="12.75">
      <c r="A12" s="289"/>
      <c r="B12" s="13"/>
      <c r="C12" s="13"/>
      <c r="D12" s="13"/>
      <c r="E12" s="13"/>
      <c r="F12" s="13"/>
      <c r="G12" s="13"/>
      <c r="H12" s="13"/>
      <c r="I12" s="13"/>
      <c r="J12" s="13"/>
      <c r="K12" s="13"/>
      <c r="L12" s="13"/>
      <c r="M12" s="13"/>
      <c r="N12" s="13"/>
      <c r="O12" s="13"/>
      <c r="Q12" s="13"/>
      <c r="R12" s="13"/>
      <c r="S12" s="13"/>
      <c r="T12" s="13"/>
      <c r="U12" s="13"/>
      <c r="V12" s="13"/>
      <c r="W12" s="13"/>
      <c r="X12" s="13"/>
      <c r="Y12" s="13"/>
    </row>
    <row r="13" spans="1:25" ht="12.75">
      <c r="A13" s="292"/>
      <c r="B13" s="17"/>
      <c r="C13" s="17"/>
      <c r="D13" s="17"/>
      <c r="E13" s="17"/>
      <c r="F13" s="17"/>
      <c r="G13" s="17"/>
      <c r="H13" s="17"/>
      <c r="I13" s="17"/>
      <c r="J13" s="17"/>
      <c r="K13" s="17"/>
      <c r="L13" s="17"/>
      <c r="M13" s="17"/>
      <c r="N13" s="17"/>
      <c r="O13" s="17"/>
      <c r="Q13" s="17"/>
      <c r="R13" s="17"/>
      <c r="S13" s="17"/>
      <c r="T13" s="17"/>
      <c r="U13" s="17"/>
      <c r="V13" s="17"/>
      <c r="W13" s="17"/>
      <c r="X13" s="17"/>
      <c r="Y13" s="17"/>
    </row>
    <row r="14" spans="1:25" ht="12.75">
      <c r="A14" s="293" t="s">
        <v>234</v>
      </c>
      <c r="B14" s="4" t="s">
        <v>210</v>
      </c>
      <c r="C14" s="4" t="s">
        <v>211</v>
      </c>
      <c r="D14" s="4" t="s">
        <v>213</v>
      </c>
      <c r="E14" s="4" t="s">
        <v>218</v>
      </c>
      <c r="F14" s="4" t="s">
        <v>225</v>
      </c>
      <c r="G14" s="4" t="s">
        <v>231</v>
      </c>
      <c r="H14" s="4" t="s">
        <v>241</v>
      </c>
      <c r="I14" s="4" t="s">
        <v>244</v>
      </c>
      <c r="J14" s="4" t="s">
        <v>245</v>
      </c>
      <c r="K14" s="4" t="s">
        <v>247</v>
      </c>
      <c r="L14" s="4" t="s">
        <v>252</v>
      </c>
      <c r="M14" s="4" t="s">
        <v>259</v>
      </c>
      <c r="N14" s="4" t="s">
        <v>266</v>
      </c>
      <c r="O14" s="4" t="s">
        <v>269</v>
      </c>
      <c r="Q14" s="4">
        <v>2008</v>
      </c>
      <c r="R14" s="4">
        <v>2009</v>
      </c>
      <c r="S14" s="4">
        <v>2010</v>
      </c>
      <c r="T14" s="4">
        <v>2008</v>
      </c>
      <c r="U14" s="4">
        <v>2009</v>
      </c>
      <c r="V14" s="4">
        <v>2010</v>
      </c>
      <c r="W14" s="4">
        <v>2011</v>
      </c>
      <c r="X14" s="4">
        <v>2012</v>
      </c>
      <c r="Y14" s="4">
        <v>2013</v>
      </c>
    </row>
    <row r="15" spans="1:25" ht="12.75">
      <c r="A15" s="294" t="s">
        <v>222</v>
      </c>
      <c r="B15" s="295">
        <v>812.6373710648746</v>
      </c>
      <c r="C15" s="295">
        <v>881.4865563775681</v>
      </c>
      <c r="D15" s="295">
        <v>897.9948903809327</v>
      </c>
      <c r="E15" s="295">
        <v>893.2740588832438</v>
      </c>
      <c r="F15" s="295">
        <v>849.3662051824093</v>
      </c>
      <c r="G15" s="295">
        <v>878.2903849901877</v>
      </c>
      <c r="H15" s="295">
        <v>811.2552990633974</v>
      </c>
      <c r="I15" s="295">
        <v>818.7923183271593</v>
      </c>
      <c r="J15" s="295">
        <v>769.9117029477453</v>
      </c>
      <c r="K15" s="295">
        <v>771.1900588332909</v>
      </c>
      <c r="L15" s="295">
        <v>765.2560016945333</v>
      </c>
      <c r="M15" s="295">
        <v>767.3108016272043</v>
      </c>
      <c r="N15" s="295">
        <v>797.9976275656517</v>
      </c>
      <c r="O15" s="295">
        <v>792.3313617919717</v>
      </c>
      <c r="Q15" s="295"/>
      <c r="R15" s="295"/>
      <c r="S15" s="295"/>
      <c r="T15" s="295"/>
      <c r="U15" s="295"/>
      <c r="V15" s="295"/>
      <c r="W15" s="295">
        <f>E15</f>
        <v>893.2740588832438</v>
      </c>
      <c r="X15" s="295">
        <f>I15</f>
        <v>818.7923183271593</v>
      </c>
      <c r="Y15" s="295">
        <f>M15</f>
        <v>767.3108016272043</v>
      </c>
    </row>
    <row r="16" spans="1:25" s="290" customFormat="1" ht="12.75">
      <c r="A16" s="289" t="s">
        <v>137</v>
      </c>
      <c r="B16" s="24"/>
      <c r="C16" s="24"/>
      <c r="D16" s="24"/>
      <c r="E16" s="24"/>
      <c r="F16" s="24"/>
      <c r="G16" s="24"/>
      <c r="H16" s="24"/>
      <c r="I16" s="24"/>
      <c r="J16" s="24"/>
      <c r="K16" s="24"/>
      <c r="L16" s="24"/>
      <c r="M16" s="24"/>
      <c r="N16" s="24"/>
      <c r="O16" s="24"/>
      <c r="Q16" s="24"/>
      <c r="R16" s="24"/>
      <c r="S16" s="24"/>
      <c r="T16" s="24"/>
      <c r="U16" s="24"/>
      <c r="V16" s="24"/>
      <c r="W16" s="24"/>
      <c r="X16" s="14">
        <f>X15/W15-1</f>
        <v>-0.08338061518231077</v>
      </c>
      <c r="Y16" s="14">
        <f>Y15/X15-1</f>
        <v>-0.06287493854990567</v>
      </c>
    </row>
    <row r="17" spans="1:25" s="290" customFormat="1" ht="12.75">
      <c r="A17" s="291" t="s">
        <v>235</v>
      </c>
      <c r="B17" s="295">
        <v>591.4020883688152</v>
      </c>
      <c r="C17" s="295">
        <v>620.3675438060931</v>
      </c>
      <c r="D17" s="295">
        <v>831.5981426572489</v>
      </c>
      <c r="E17" s="295">
        <v>848.7771122364439</v>
      </c>
      <c r="F17" s="295">
        <v>967.3784249630097</v>
      </c>
      <c r="G17" s="295">
        <v>1045.8908502038203</v>
      </c>
      <c r="H17" s="295">
        <v>975.6820481358869</v>
      </c>
      <c r="I17" s="295">
        <v>948.8598582047675</v>
      </c>
      <c r="J17" s="295">
        <v>909.916887653399</v>
      </c>
      <c r="K17" s="295">
        <v>855.955420433044</v>
      </c>
      <c r="L17" s="295">
        <v>853.1197551106491</v>
      </c>
      <c r="M17" s="295">
        <v>859.8464847078939</v>
      </c>
      <c r="N17" s="295">
        <v>416.1098411919829</v>
      </c>
      <c r="O17" s="295">
        <v>401.4544059997138</v>
      </c>
      <c r="Q17" s="295"/>
      <c r="R17" s="295"/>
      <c r="S17" s="295"/>
      <c r="T17" s="295"/>
      <c r="U17" s="295"/>
      <c r="V17" s="295"/>
      <c r="W17" s="295">
        <f>E17</f>
        <v>848.7771122364439</v>
      </c>
      <c r="X17" s="295">
        <f>I17</f>
        <v>948.8598582047675</v>
      </c>
      <c r="Y17" s="295">
        <f>M17</f>
        <v>859.8464847078939</v>
      </c>
    </row>
    <row r="18" spans="1:25" s="290" customFormat="1" ht="12.75">
      <c r="A18" s="289" t="s">
        <v>137</v>
      </c>
      <c r="B18" s="24"/>
      <c r="C18" s="24"/>
      <c r="D18" s="24"/>
      <c r="E18" s="24"/>
      <c r="F18" s="24"/>
      <c r="G18" s="24"/>
      <c r="H18" s="24"/>
      <c r="I18" s="24"/>
      <c r="J18" s="24"/>
      <c r="K18" s="24"/>
      <c r="L18" s="24"/>
      <c r="M18" s="24"/>
      <c r="N18" s="24"/>
      <c r="O18" s="24"/>
      <c r="Q18" s="24"/>
      <c r="R18" s="24"/>
      <c r="S18" s="24"/>
      <c r="T18" s="24"/>
      <c r="U18" s="24"/>
      <c r="V18" s="24"/>
      <c r="W18" s="24"/>
      <c r="X18" s="14">
        <f>X17/W17-1</f>
        <v>0.11791404895993884</v>
      </c>
      <c r="Y18" s="14">
        <f>Y17/X17-1</f>
        <v>-0.09381087494341467</v>
      </c>
    </row>
    <row r="19" spans="1:25" s="290" customFormat="1" ht="12.75">
      <c r="A19" s="291" t="s">
        <v>221</v>
      </c>
      <c r="B19" s="295">
        <v>942.4977191389664</v>
      </c>
      <c r="C19" s="295">
        <v>999.8192147643101</v>
      </c>
      <c r="D19" s="295">
        <v>1008.8820324468637</v>
      </c>
      <c r="E19" s="295">
        <v>1010.4461657166717</v>
      </c>
      <c r="F19" s="295">
        <v>924.3135942655605</v>
      </c>
      <c r="G19" s="295">
        <v>990.3230283004021</v>
      </c>
      <c r="H19" s="295">
        <v>909.4704777197945</v>
      </c>
      <c r="I19" s="295">
        <v>900.4480853569594</v>
      </c>
      <c r="J19" s="295">
        <v>814.1589012143164</v>
      </c>
      <c r="K19" s="295">
        <v>833.3686640917576</v>
      </c>
      <c r="L19" s="295">
        <v>830.5055049783749</v>
      </c>
      <c r="M19" s="295">
        <v>831.8478832470421</v>
      </c>
      <c r="N19" s="295">
        <v>808.1270872300391</v>
      </c>
      <c r="O19" s="295">
        <v>813.9970677952927</v>
      </c>
      <c r="Q19" s="295"/>
      <c r="R19" s="295"/>
      <c r="S19" s="295"/>
      <c r="T19" s="295"/>
      <c r="U19" s="295"/>
      <c r="V19" s="295"/>
      <c r="W19" s="295">
        <f>E19</f>
        <v>1010.4461657166717</v>
      </c>
      <c r="X19" s="295">
        <f>I19</f>
        <v>900.4480853569594</v>
      </c>
      <c r="Y19" s="295">
        <f>M19</f>
        <v>831.8478832470421</v>
      </c>
    </row>
    <row r="20" spans="1:25" s="290" customFormat="1" ht="12.75">
      <c r="A20" s="289" t="s">
        <v>137</v>
      </c>
      <c r="B20" s="24"/>
      <c r="C20" s="24"/>
      <c r="D20" s="24"/>
      <c r="E20" s="24"/>
      <c r="F20" s="295"/>
      <c r="G20" s="24"/>
      <c r="H20" s="24"/>
      <c r="I20" s="24"/>
      <c r="J20" s="24"/>
      <c r="K20" s="24"/>
      <c r="L20" s="24"/>
      <c r="M20" s="24"/>
      <c r="N20" s="24"/>
      <c r="O20" s="24"/>
      <c r="Q20" s="24"/>
      <c r="R20" s="24"/>
      <c r="S20" s="24"/>
      <c r="T20" s="24"/>
      <c r="U20" s="24"/>
      <c r="V20" s="24"/>
      <c r="W20" s="24"/>
      <c r="X20" s="14">
        <f>X19/W19-1</f>
        <v>-0.10886090134420445</v>
      </c>
      <c r="Y20" s="14">
        <f>Y19/X19-1</f>
        <v>-0.07618451660400005</v>
      </c>
    </row>
    <row r="21" spans="1:25" s="290" customFormat="1" ht="12.75">
      <c r="A21" s="291" t="s">
        <v>135</v>
      </c>
      <c r="B21" s="295">
        <v>744.6087516554023</v>
      </c>
      <c r="C21" s="295">
        <v>815.069092606459</v>
      </c>
      <c r="D21" s="295">
        <v>849.1147595032944</v>
      </c>
      <c r="E21" s="295">
        <v>846.3585170110499</v>
      </c>
      <c r="F21" s="295">
        <v>820.5617869701962</v>
      </c>
      <c r="G21" s="295">
        <v>838.2919447313004</v>
      </c>
      <c r="H21" s="295">
        <v>776.589179777261</v>
      </c>
      <c r="I21" s="295">
        <v>790.8257039307844</v>
      </c>
      <c r="J21" s="295">
        <v>752.2220424679247</v>
      </c>
      <c r="K21" s="295">
        <v>748.2712768745973</v>
      </c>
      <c r="L21" s="295">
        <v>743.7462619012884</v>
      </c>
      <c r="M21" s="295">
        <v>745.1702495136857</v>
      </c>
      <c r="N21" s="295">
        <v>797.0614372317068</v>
      </c>
      <c r="O21" s="295">
        <v>789.5995263017294</v>
      </c>
      <c r="Q21" s="295"/>
      <c r="R21" s="295"/>
      <c r="S21" s="295"/>
      <c r="T21" s="295"/>
      <c r="U21" s="295"/>
      <c r="V21" s="295"/>
      <c r="W21" s="295">
        <f>E21</f>
        <v>846.3585170110499</v>
      </c>
      <c r="X21" s="295">
        <f>I21</f>
        <v>790.8257039307844</v>
      </c>
      <c r="Y21" s="295">
        <f>M21</f>
        <v>745.1702495136857</v>
      </c>
    </row>
    <row r="22" spans="1:25" s="290" customFormat="1" ht="12.75">
      <c r="A22" s="289" t="s">
        <v>137</v>
      </c>
      <c r="B22" s="24"/>
      <c r="C22" s="24"/>
      <c r="D22" s="24"/>
      <c r="E22" s="24"/>
      <c r="F22" s="24"/>
      <c r="G22" s="24"/>
      <c r="H22" s="24"/>
      <c r="I22" s="24"/>
      <c r="J22" s="24"/>
      <c r="K22" s="24"/>
      <c r="L22" s="24"/>
      <c r="M22" s="24"/>
      <c r="N22" s="24"/>
      <c r="O22" s="24"/>
      <c r="Q22" s="24"/>
      <c r="R22" s="24"/>
      <c r="S22" s="24"/>
      <c r="T22" s="24"/>
      <c r="U22" s="24"/>
      <c r="V22" s="24"/>
      <c r="W22" s="24"/>
      <c r="X22" s="14">
        <f>X21/W21-1</f>
        <v>-0.06561381727022964</v>
      </c>
      <c r="Y22" s="14">
        <f>Y21/X21-1</f>
        <v>-0.05773137391737404</v>
      </c>
    </row>
    <row r="23" spans="1:25" ht="12.75">
      <c r="A23" s="292"/>
      <c r="B23" s="26"/>
      <c r="C23" s="26"/>
      <c r="D23" s="26"/>
      <c r="E23" s="26"/>
      <c r="F23" s="26"/>
      <c r="G23" s="26"/>
      <c r="H23" s="26"/>
      <c r="I23" s="26"/>
      <c r="J23" s="26"/>
      <c r="K23" s="26"/>
      <c r="L23" s="26"/>
      <c r="M23" s="26"/>
      <c r="N23" s="26"/>
      <c r="O23" s="26"/>
      <c r="Q23" s="26"/>
      <c r="R23" s="26"/>
      <c r="S23" s="26"/>
      <c r="T23" s="26"/>
      <c r="U23" s="26"/>
      <c r="V23" s="26"/>
      <c r="W23" s="26"/>
      <c r="X23" s="26"/>
      <c r="Y23" s="26"/>
    </row>
    <row r="24" spans="1:25" ht="12.75">
      <c r="A24" s="286" t="s">
        <v>1</v>
      </c>
      <c r="B24" s="4" t="s">
        <v>210</v>
      </c>
      <c r="C24" s="4" t="s">
        <v>211</v>
      </c>
      <c r="D24" s="4" t="s">
        <v>213</v>
      </c>
      <c r="E24" s="4" t="s">
        <v>218</v>
      </c>
      <c r="F24" s="4" t="s">
        <v>225</v>
      </c>
      <c r="G24" s="4" t="s">
        <v>231</v>
      </c>
      <c r="H24" s="4" t="s">
        <v>241</v>
      </c>
      <c r="I24" s="4" t="s">
        <v>244</v>
      </c>
      <c r="J24" s="4" t="s">
        <v>245</v>
      </c>
      <c r="K24" s="4" t="s">
        <v>247</v>
      </c>
      <c r="L24" s="4" t="s">
        <v>252</v>
      </c>
      <c r="M24" s="4" t="s">
        <v>259</v>
      </c>
      <c r="N24" s="4" t="s">
        <v>266</v>
      </c>
      <c r="O24" s="4" t="s">
        <v>269</v>
      </c>
      <c r="Q24" s="4">
        <v>2008</v>
      </c>
      <c r="R24" s="4">
        <v>2009</v>
      </c>
      <c r="S24" s="4">
        <v>2010</v>
      </c>
      <c r="T24" s="4">
        <v>2008</v>
      </c>
      <c r="U24" s="4">
        <v>2009</v>
      </c>
      <c r="V24" s="4">
        <v>2010</v>
      </c>
      <c r="W24" s="4">
        <v>2011</v>
      </c>
      <c r="X24" s="4">
        <v>2012</v>
      </c>
      <c r="Y24" s="4">
        <v>2013</v>
      </c>
    </row>
    <row r="25" spans="1:25" ht="12.75">
      <c r="A25" s="287" t="s">
        <v>26</v>
      </c>
      <c r="B25" s="296">
        <v>242.42</v>
      </c>
      <c r="C25" s="296">
        <v>497.37</v>
      </c>
      <c r="D25" s="296">
        <v>1475.179</v>
      </c>
      <c r="E25" s="295">
        <v>2381.534</v>
      </c>
      <c r="F25" s="295">
        <v>988.979</v>
      </c>
      <c r="G25" s="295">
        <v>2015.321</v>
      </c>
      <c r="H25" s="295">
        <v>2774.453</v>
      </c>
      <c r="I25" s="295">
        <v>3466.682</v>
      </c>
      <c r="J25" s="295">
        <v>816.028</v>
      </c>
      <c r="K25" s="295">
        <v>1545.814</v>
      </c>
      <c r="L25" s="295">
        <v>2295.292</v>
      </c>
      <c r="M25" s="295">
        <v>2740.056</v>
      </c>
      <c r="N25" s="295">
        <v>470.561</v>
      </c>
      <c r="O25" s="295">
        <v>1003.668</v>
      </c>
      <c r="Q25" s="296"/>
      <c r="R25" s="296"/>
      <c r="S25" s="296"/>
      <c r="T25" s="296"/>
      <c r="U25" s="296"/>
      <c r="V25" s="296"/>
      <c r="W25" s="296">
        <f>E25</f>
        <v>2381.534</v>
      </c>
      <c r="X25" s="296">
        <f>I25</f>
        <v>3466.682</v>
      </c>
      <c r="Y25" s="296">
        <f>M25</f>
        <v>2740.056</v>
      </c>
    </row>
    <row r="26" spans="1:25" s="290" customFormat="1" ht="12.75">
      <c r="A26" s="289" t="s">
        <v>137</v>
      </c>
      <c r="B26" s="13"/>
      <c r="C26" s="13"/>
      <c r="D26" s="13"/>
      <c r="E26" s="13"/>
      <c r="F26" s="13"/>
      <c r="G26" s="13"/>
      <c r="H26" s="13"/>
      <c r="I26" s="13"/>
      <c r="J26" s="13"/>
      <c r="K26" s="13"/>
      <c r="L26" s="13"/>
      <c r="M26" s="13"/>
      <c r="N26" s="13"/>
      <c r="O26" s="13"/>
      <c r="Q26" s="13"/>
      <c r="R26" s="13"/>
      <c r="S26" s="13"/>
      <c r="T26" s="13"/>
      <c r="U26" s="13"/>
      <c r="V26" s="13"/>
      <c r="W26" s="13"/>
      <c r="X26" s="14">
        <f>X25/W25-1</f>
        <v>0.4556508536094801</v>
      </c>
      <c r="Y26" s="14">
        <f>Y25/X25-1</f>
        <v>-0.20960272675717007</v>
      </c>
    </row>
    <row r="27" spans="1:25" ht="12.75">
      <c r="A27" s="292" t="s">
        <v>138</v>
      </c>
      <c r="B27" s="295" t="s">
        <v>139</v>
      </c>
      <c r="C27" s="295" t="s">
        <v>139</v>
      </c>
      <c r="D27" s="295" t="s">
        <v>139</v>
      </c>
      <c r="E27" s="295">
        <v>119.432</v>
      </c>
      <c r="F27" s="295" t="s">
        <v>139</v>
      </c>
      <c r="G27" s="295" t="s">
        <v>139</v>
      </c>
      <c r="H27" s="295" t="s">
        <v>139</v>
      </c>
      <c r="I27" s="295">
        <v>198.5</v>
      </c>
      <c r="J27" s="295" t="s">
        <v>139</v>
      </c>
      <c r="K27" s="295" t="s">
        <v>139</v>
      </c>
      <c r="L27" s="295" t="s">
        <v>139</v>
      </c>
      <c r="M27" s="295">
        <v>163.193</v>
      </c>
      <c r="N27" s="295" t="s">
        <v>139</v>
      </c>
      <c r="O27" s="295" t="s">
        <v>139</v>
      </c>
      <c r="Q27" s="295"/>
      <c r="R27" s="295"/>
      <c r="S27" s="295"/>
      <c r="T27" s="295"/>
      <c r="U27" s="295"/>
      <c r="V27" s="295"/>
      <c r="W27" s="295">
        <f>E27</f>
        <v>119.432</v>
      </c>
      <c r="X27" s="295">
        <f>I27</f>
        <v>198.5</v>
      </c>
      <c r="Y27" s="295">
        <f>M27</f>
        <v>163.193</v>
      </c>
    </row>
    <row r="28" spans="1:25" s="290" customFormat="1" ht="12.75">
      <c r="A28" s="289" t="s">
        <v>137</v>
      </c>
      <c r="B28" s="13"/>
      <c r="C28" s="13"/>
      <c r="D28" s="13"/>
      <c r="E28" s="13"/>
      <c r="F28" s="13"/>
      <c r="G28" s="13"/>
      <c r="H28" s="13"/>
      <c r="I28" s="13"/>
      <c r="J28" s="13"/>
      <c r="K28" s="13"/>
      <c r="L28" s="13"/>
      <c r="M28" s="13"/>
      <c r="N28" s="13"/>
      <c r="O28" s="13"/>
      <c r="Q28" s="13"/>
      <c r="R28" s="13"/>
      <c r="S28" s="13"/>
      <c r="T28" s="13"/>
      <c r="U28" s="13"/>
      <c r="V28" s="13"/>
      <c r="W28" s="13"/>
      <c r="X28" s="14">
        <f>X27/W27-1</f>
        <v>0.6620336258289234</v>
      </c>
      <c r="Y28" s="14">
        <f>Y27/X27-1</f>
        <v>-0.17786901763224172</v>
      </c>
    </row>
    <row r="29" spans="1:25" ht="12.75">
      <c r="A29" s="292" t="s">
        <v>3</v>
      </c>
      <c r="B29" s="297">
        <v>3.671</v>
      </c>
      <c r="C29" s="297">
        <v>12.166</v>
      </c>
      <c r="D29" s="297">
        <v>-174.716</v>
      </c>
      <c r="E29" s="297">
        <v>-305.21</v>
      </c>
      <c r="F29" s="297">
        <v>-62.773</v>
      </c>
      <c r="G29" s="297">
        <v>-118.997</v>
      </c>
      <c r="H29" s="297">
        <v>-229.366</v>
      </c>
      <c r="I29" s="297">
        <v>-346.901</v>
      </c>
      <c r="J29" s="297">
        <v>-74.008</v>
      </c>
      <c r="K29" s="297">
        <v>-183.842</v>
      </c>
      <c r="L29" s="297">
        <v>-266.751</v>
      </c>
      <c r="M29" s="297">
        <v>-257.182</v>
      </c>
      <c r="N29" s="297">
        <v>2.796</v>
      </c>
      <c r="O29" s="297">
        <v>1.7</v>
      </c>
      <c r="Q29" s="297"/>
      <c r="R29" s="297"/>
      <c r="S29" s="297"/>
      <c r="T29" s="297"/>
      <c r="U29" s="297"/>
      <c r="V29" s="297"/>
      <c r="W29" s="297">
        <f>E29</f>
        <v>-305.21</v>
      </c>
      <c r="X29" s="297">
        <f>I29</f>
        <v>-346.901</v>
      </c>
      <c r="Y29" s="297">
        <f>M29</f>
        <v>-257.182</v>
      </c>
    </row>
    <row r="30" spans="1:25" s="290" customFormat="1" ht="12.75">
      <c r="A30" s="289" t="s">
        <v>137</v>
      </c>
      <c r="B30" s="31"/>
      <c r="C30" s="31"/>
      <c r="D30" s="31"/>
      <c r="E30" s="31"/>
      <c r="F30" s="31"/>
      <c r="G30" s="31"/>
      <c r="H30" s="31"/>
      <c r="I30" s="31"/>
      <c r="J30" s="31"/>
      <c r="K30" s="31"/>
      <c r="L30" s="31"/>
      <c r="M30" s="31"/>
      <c r="N30" s="31"/>
      <c r="O30" s="31"/>
      <c r="Q30" s="31"/>
      <c r="R30" s="31"/>
      <c r="S30" s="31"/>
      <c r="T30" s="31"/>
      <c r="U30" s="31"/>
      <c r="V30" s="31"/>
      <c r="W30" s="31"/>
      <c r="X30" s="14">
        <f>X29/W29-1</f>
        <v>0.1365977523672226</v>
      </c>
      <c r="Y30" s="14">
        <f>Y29/X29-1</f>
        <v>-0.25862998377058577</v>
      </c>
    </row>
    <row r="31" spans="1:45" s="36" customFormat="1" ht="12.75">
      <c r="A31" s="18" t="s">
        <v>2</v>
      </c>
      <c r="B31" s="21" t="s">
        <v>141</v>
      </c>
      <c r="C31" s="21" t="s">
        <v>141</v>
      </c>
      <c r="D31" s="21" t="s">
        <v>141</v>
      </c>
      <c r="E31" s="297">
        <v>-185.7786669124072</v>
      </c>
      <c r="F31" s="297">
        <v>-9.843</v>
      </c>
      <c r="G31" s="297">
        <v>-14.763</v>
      </c>
      <c r="H31" s="297">
        <v>-76.375</v>
      </c>
      <c r="I31" s="297">
        <v>-148.401</v>
      </c>
      <c r="J31" s="297">
        <v>-26.101</v>
      </c>
      <c r="K31" s="297">
        <v>-88.505</v>
      </c>
      <c r="L31" s="297">
        <v>-143.159</v>
      </c>
      <c r="M31" s="297">
        <v>-93.989</v>
      </c>
      <c r="N31" s="297">
        <v>23.01</v>
      </c>
      <c r="O31" s="297">
        <v>42.071</v>
      </c>
      <c r="P31" s="21"/>
      <c r="Q31" s="21">
        <v>241.012</v>
      </c>
      <c r="R31" s="21">
        <v>0</v>
      </c>
      <c r="S31" s="21">
        <v>0</v>
      </c>
      <c r="T31" s="21">
        <v>0</v>
      </c>
      <c r="U31" s="21">
        <v>601.603</v>
      </c>
      <c r="V31" s="21">
        <v>0</v>
      </c>
      <c r="W31" s="297">
        <f>E31</f>
        <v>-185.7786669124072</v>
      </c>
      <c r="X31" s="297">
        <f>I31</f>
        <v>-148.401</v>
      </c>
      <c r="Y31" s="297">
        <f>M31</f>
        <v>-93.989</v>
      </c>
      <c r="Z31" s="21"/>
      <c r="AA31" s="21"/>
      <c r="AB31" s="21"/>
      <c r="AC31" s="21"/>
      <c r="AD31" s="21"/>
      <c r="AE31" s="21"/>
      <c r="AF31" s="21"/>
      <c r="AG31" s="21"/>
      <c r="AH31" s="21"/>
      <c r="AI31" s="21"/>
      <c r="AJ31" s="30"/>
      <c r="AK31" s="21"/>
      <c r="AL31" s="21"/>
      <c r="AM31" s="21"/>
      <c r="AN31" s="23"/>
      <c r="AO31" s="21"/>
      <c r="AP31" s="21"/>
      <c r="AQ31" s="21"/>
      <c r="AR31" s="21"/>
      <c r="AS31" s="21"/>
    </row>
    <row r="32" spans="1:45" s="36" customFormat="1" ht="12.75">
      <c r="A32" s="9" t="s">
        <v>137</v>
      </c>
      <c r="B32" s="267"/>
      <c r="C32" s="267"/>
      <c r="D32" s="267"/>
      <c r="E32" s="266"/>
      <c r="F32" s="267"/>
      <c r="G32" s="267"/>
      <c r="H32" s="267"/>
      <c r="I32" s="266"/>
      <c r="J32" s="268"/>
      <c r="K32" s="268"/>
      <c r="L32" s="266"/>
      <c r="M32" s="266"/>
      <c r="N32" s="267"/>
      <c r="O32" s="267"/>
      <c r="P32" s="267"/>
      <c r="Q32" s="267"/>
      <c r="R32" s="267"/>
      <c r="S32" s="267"/>
      <c r="T32" s="267"/>
      <c r="U32" s="267"/>
      <c r="V32" s="267"/>
      <c r="W32" s="267"/>
      <c r="X32" s="14">
        <f>X31/W31-1</f>
        <v>-0.2011946125656634</v>
      </c>
      <c r="Y32" s="14">
        <f>Y31/X31-1</f>
        <v>-0.3666552112182533</v>
      </c>
      <c r="Z32" s="267"/>
      <c r="AA32" s="267"/>
      <c r="AB32" s="267"/>
      <c r="AC32" s="267"/>
      <c r="AD32" s="267"/>
      <c r="AE32" s="267"/>
      <c r="AF32" s="267"/>
      <c r="AG32" s="267"/>
      <c r="AH32" s="267"/>
      <c r="AI32" s="267"/>
      <c r="AJ32" s="235"/>
      <c r="AK32" s="267"/>
      <c r="AL32" s="262"/>
      <c r="AM32" s="262"/>
      <c r="AN32" s="262"/>
      <c r="AO32" s="262"/>
      <c r="AP32" s="262"/>
      <c r="AQ32" s="262"/>
      <c r="AR32" s="262"/>
      <c r="AS32" s="262"/>
    </row>
    <row r="33" spans="1:45" s="36" customFormat="1" ht="12.75">
      <c r="A33" s="328" t="s">
        <v>271</v>
      </c>
      <c r="B33" s="21" t="s">
        <v>141</v>
      </c>
      <c r="C33" s="21" t="s">
        <v>141</v>
      </c>
      <c r="D33" s="21" t="s">
        <v>141</v>
      </c>
      <c r="E33" s="297">
        <v>-326.6876454975023</v>
      </c>
      <c r="F33" s="297">
        <v>-63.054</v>
      </c>
      <c r="G33" s="297">
        <v>-124.314</v>
      </c>
      <c r="H33" s="297">
        <v>-233.132</v>
      </c>
      <c r="I33" s="297">
        <v>-429.86</v>
      </c>
      <c r="J33" s="297">
        <v>-91.358</v>
      </c>
      <c r="K33" s="297">
        <v>-273.12</v>
      </c>
      <c r="L33" s="297">
        <v>-357.255</v>
      </c>
      <c r="M33" s="297">
        <v>-343.533</v>
      </c>
      <c r="N33" s="297">
        <v>-6.515</v>
      </c>
      <c r="O33" s="297">
        <v>-19.06</v>
      </c>
      <c r="P33" s="21"/>
      <c r="Q33" s="21">
        <v>140.124</v>
      </c>
      <c r="R33" s="21">
        <v>0</v>
      </c>
      <c r="S33" s="21">
        <v>0</v>
      </c>
      <c r="T33" s="21">
        <v>0</v>
      </c>
      <c r="U33" s="21">
        <v>428.173</v>
      </c>
      <c r="V33" s="21">
        <v>0</v>
      </c>
      <c r="W33" s="297">
        <f>E33</f>
        <v>-326.6876454975023</v>
      </c>
      <c r="X33" s="297">
        <f>I33</f>
        <v>-429.86</v>
      </c>
      <c r="Y33" s="297">
        <f>M33</f>
        <v>-343.533</v>
      </c>
      <c r="Z33" s="21"/>
      <c r="AA33" s="21"/>
      <c r="AB33" s="21"/>
      <c r="AC33" s="21"/>
      <c r="AD33" s="21"/>
      <c r="AE33" s="21"/>
      <c r="AF33" s="21"/>
      <c r="AG33" s="21"/>
      <c r="AH33" s="21"/>
      <c r="AI33" s="21"/>
      <c r="AJ33" s="30"/>
      <c r="AK33" s="21"/>
      <c r="AL33" s="21"/>
      <c r="AM33" s="21"/>
      <c r="AN33" s="23"/>
      <c r="AO33" s="21"/>
      <c r="AP33" s="21"/>
      <c r="AQ33" s="21"/>
      <c r="AR33" s="21"/>
      <c r="AS33" s="21"/>
    </row>
    <row r="34" spans="1:45" s="36" customFormat="1" ht="12.75">
      <c r="A34" s="9" t="s">
        <v>137</v>
      </c>
      <c r="B34" s="267"/>
      <c r="C34" s="267"/>
      <c r="D34" s="267"/>
      <c r="E34" s="266"/>
      <c r="F34" s="267"/>
      <c r="G34" s="267"/>
      <c r="H34" s="267"/>
      <c r="I34" s="266"/>
      <c r="J34" s="268"/>
      <c r="K34" s="268"/>
      <c r="L34" s="266"/>
      <c r="M34" s="266"/>
      <c r="N34" s="267"/>
      <c r="O34" s="267"/>
      <c r="P34" s="267"/>
      <c r="Q34" s="267"/>
      <c r="R34" s="267"/>
      <c r="S34" s="267"/>
      <c r="T34" s="267"/>
      <c r="U34" s="267"/>
      <c r="V34" s="267"/>
      <c r="W34" s="267"/>
      <c r="X34" s="14">
        <f>X33/W33-1</f>
        <v>0.31581345644516134</v>
      </c>
      <c r="Y34" s="14">
        <f>Y33/X33-1</f>
        <v>-0.2008258502768343</v>
      </c>
      <c r="Z34" s="267"/>
      <c r="AA34" s="267"/>
      <c r="AB34" s="267"/>
      <c r="AC34" s="267"/>
      <c r="AD34" s="267"/>
      <c r="AE34" s="267"/>
      <c r="AF34" s="267"/>
      <c r="AG34" s="267"/>
      <c r="AH34" s="267"/>
      <c r="AI34" s="267"/>
      <c r="AJ34" s="235"/>
      <c r="AK34" s="267"/>
      <c r="AL34" s="262"/>
      <c r="AM34" s="262"/>
      <c r="AN34" s="262"/>
      <c r="AO34" s="262"/>
      <c r="AP34" s="262"/>
      <c r="AQ34" s="262"/>
      <c r="AR34" s="262"/>
      <c r="AS34" s="262"/>
    </row>
    <row r="35" spans="1:45" s="36" customFormat="1" ht="12.75">
      <c r="A35" s="328" t="s">
        <v>272</v>
      </c>
      <c r="B35" s="21" t="s">
        <v>141</v>
      </c>
      <c r="C35" s="21" t="s">
        <v>141</v>
      </c>
      <c r="D35" s="21" t="s">
        <v>141</v>
      </c>
      <c r="E35" s="23"/>
      <c r="F35" s="21"/>
      <c r="G35" s="21"/>
      <c r="H35" s="21"/>
      <c r="I35" s="23"/>
      <c r="J35" s="23"/>
      <c r="K35" s="23"/>
      <c r="L35" s="23"/>
      <c r="M35" s="23"/>
      <c r="N35" s="21"/>
      <c r="O35" s="21"/>
      <c r="P35" s="21"/>
      <c r="Q35" s="21"/>
      <c r="R35" s="21"/>
      <c r="S35" s="21"/>
      <c r="T35" s="21"/>
      <c r="U35" s="21"/>
      <c r="V35" s="21"/>
      <c r="W35" s="21"/>
      <c r="X35" s="21"/>
      <c r="Y35" s="21"/>
      <c r="Z35" s="21"/>
      <c r="AA35" s="21"/>
      <c r="AB35" s="21"/>
      <c r="AC35" s="21"/>
      <c r="AD35" s="21"/>
      <c r="AE35" s="21"/>
      <c r="AF35" s="21"/>
      <c r="AG35" s="21"/>
      <c r="AH35" s="21"/>
      <c r="AI35" s="21"/>
      <c r="AJ35" s="30"/>
      <c r="AK35" s="21"/>
      <c r="AL35" s="21"/>
      <c r="AM35" s="21"/>
      <c r="AN35" s="23"/>
      <c r="AO35" s="21"/>
      <c r="AP35" s="21"/>
      <c r="AQ35" s="21"/>
      <c r="AR35" s="21"/>
      <c r="AS35" s="21"/>
    </row>
    <row r="36" spans="1:45" s="36" customFormat="1" ht="12.75">
      <c r="A36" s="329" t="s">
        <v>3</v>
      </c>
      <c r="B36" s="267"/>
      <c r="C36" s="267"/>
      <c r="D36" s="267"/>
      <c r="E36" s="12">
        <f>E29/E55</f>
        <v>-0.12798590261992582</v>
      </c>
      <c r="F36" s="12">
        <f>F29/F55</f>
        <v>-0.06347253076152275</v>
      </c>
      <c r="G36" s="12">
        <f>G29/G55</f>
        <v>-0.05904617676290775</v>
      </c>
      <c r="H36" s="12">
        <f>H29/H55</f>
        <v>-0.08263092043379379</v>
      </c>
      <c r="I36" s="12">
        <f>I29/I55</f>
        <v>-0.10002860423446477</v>
      </c>
      <c r="J36" s="12">
        <f aca="true" t="shared" si="1" ref="J36:O36">J29/J55</f>
        <v>-0.09063088195134138</v>
      </c>
      <c r="K36" s="12">
        <f t="shared" si="1"/>
        <v>-0.11883882594929754</v>
      </c>
      <c r="L36" s="12">
        <f t="shared" si="1"/>
        <v>-0.11613067536210432</v>
      </c>
      <c r="M36" s="12">
        <f t="shared" si="1"/>
        <v>-0.09380199682393096</v>
      </c>
      <c r="N36" s="12">
        <f t="shared" si="1"/>
        <v>0.005941843884214799</v>
      </c>
      <c r="O36" s="12">
        <f t="shared" si="1"/>
        <v>0.0016937871885922436</v>
      </c>
      <c r="P36" s="267"/>
      <c r="Q36" s="12" t="e">
        <f>Q29/Q55</f>
        <v>#DIV/0!</v>
      </c>
      <c r="R36" s="267"/>
      <c r="S36" s="267"/>
      <c r="T36" s="267"/>
      <c r="U36" s="12" t="e">
        <f>U29/U55</f>
        <v>#DIV/0!</v>
      </c>
      <c r="V36" s="267"/>
      <c r="W36" s="12">
        <f>W29/W55</f>
        <v>-0.12798590261992582</v>
      </c>
      <c r="X36" s="12">
        <f>X29/X55</f>
        <v>-0.10002860423446477</v>
      </c>
      <c r="Y36" s="12">
        <f>Y29/Y55</f>
        <v>-0.09380199682393096</v>
      </c>
      <c r="Z36" s="12"/>
      <c r="AA36" s="12"/>
      <c r="AB36" s="12"/>
      <c r="AC36" s="12"/>
      <c r="AD36" s="12"/>
      <c r="AE36" s="12"/>
      <c r="AF36" s="12"/>
      <c r="AG36" s="12"/>
      <c r="AH36" s="12"/>
      <c r="AI36" s="12"/>
      <c r="AJ36" s="235"/>
      <c r="AK36" s="12"/>
      <c r="AL36" s="12"/>
      <c r="AM36" s="12"/>
      <c r="AN36" s="12"/>
      <c r="AO36" s="12"/>
      <c r="AP36" s="12"/>
      <c r="AQ36" s="12"/>
      <c r="AR36" s="12"/>
      <c r="AS36" s="12"/>
    </row>
    <row r="37" spans="1:45" s="36" customFormat="1" ht="12.75">
      <c r="A37" s="329" t="s">
        <v>2</v>
      </c>
      <c r="B37" s="267"/>
      <c r="C37" s="267"/>
      <c r="D37" s="267"/>
      <c r="E37" s="12">
        <f>E31/E55</f>
        <v>-0.07790390345110246</v>
      </c>
      <c r="F37" s="12">
        <f>F31/F55</f>
        <v>-0.009952688580849542</v>
      </c>
      <c r="G37" s="12">
        <f>G31/G55</f>
        <v>-0.007325383896659639</v>
      </c>
      <c r="H37" s="12">
        <f>H31/H55</f>
        <v>-0.027514699424199752</v>
      </c>
      <c r="I37" s="12">
        <f>I31/I55</f>
        <v>-0.04279130039117445</v>
      </c>
      <c r="J37" s="12">
        <f aca="true" t="shared" si="2" ref="J37:O37">J31/J55</f>
        <v>-0.03196352623786565</v>
      </c>
      <c r="K37" s="12">
        <f t="shared" si="2"/>
        <v>-0.057211248194876996</v>
      </c>
      <c r="L37" s="12">
        <f t="shared" si="2"/>
        <v>-0.062324607421016205</v>
      </c>
      <c r="M37" s="12">
        <f t="shared" si="2"/>
        <v>-0.03428061014956119</v>
      </c>
      <c r="N37" s="12">
        <f t="shared" si="2"/>
        <v>0.04889908003425699</v>
      </c>
      <c r="O37" s="12">
        <f t="shared" si="2"/>
        <v>0.04191724753603781</v>
      </c>
      <c r="P37" s="267"/>
      <c r="Q37" s="12" t="e">
        <f>Q31/Q55</f>
        <v>#DIV/0!</v>
      </c>
      <c r="R37" s="267"/>
      <c r="S37" s="267"/>
      <c r="T37" s="267"/>
      <c r="U37" s="12" t="e">
        <f>U31/U55</f>
        <v>#DIV/0!</v>
      </c>
      <c r="V37" s="267"/>
      <c r="W37" s="12">
        <f>W31/W55</f>
        <v>-0.07790390345110246</v>
      </c>
      <c r="X37" s="12">
        <f>X31/X55</f>
        <v>-0.04279130039117445</v>
      </c>
      <c r="Y37" s="12">
        <f>Y31/Y55</f>
        <v>-0.03428061014956119</v>
      </c>
      <c r="Z37" s="12"/>
      <c r="AA37" s="12"/>
      <c r="AB37" s="12"/>
      <c r="AC37" s="12"/>
      <c r="AD37" s="12"/>
      <c r="AE37" s="12"/>
      <c r="AF37" s="12"/>
      <c r="AG37" s="12"/>
      <c r="AH37" s="12"/>
      <c r="AI37" s="12"/>
      <c r="AJ37" s="235"/>
      <c r="AK37" s="12"/>
      <c r="AL37" s="12"/>
      <c r="AM37" s="12"/>
      <c r="AN37" s="12"/>
      <c r="AO37" s="12"/>
      <c r="AP37" s="12"/>
      <c r="AQ37" s="12"/>
      <c r="AR37" s="12"/>
      <c r="AS37" s="12"/>
    </row>
    <row r="38" spans="1:45" s="36" customFormat="1" ht="12.75">
      <c r="A38" s="329" t="s">
        <v>271</v>
      </c>
      <c r="B38" s="267"/>
      <c r="C38" s="267"/>
      <c r="D38" s="267"/>
      <c r="E38" s="12">
        <f>E33/E55</f>
        <v>-0.13699227805044453</v>
      </c>
      <c r="F38" s="12">
        <f>F33/F55</f>
        <v>-0.06375666217381765</v>
      </c>
      <c r="G38" s="12">
        <f>G33/G55</f>
        <v>-0.06168446614708029</v>
      </c>
      <c r="H38" s="12">
        <f>H33/H55</f>
        <v>-0.08398765179918215</v>
      </c>
      <c r="I38" s="12">
        <f>I33/I55</f>
        <v>-0.12394976035303164</v>
      </c>
      <c r="J38" s="12">
        <f aca="true" t="shared" si="3" ref="J38:O38">J33/J55</f>
        <v>-0.11187785257418989</v>
      </c>
      <c r="K38" s="12">
        <f t="shared" si="3"/>
        <v>-0.17654975545997184</v>
      </c>
      <c r="L38" s="12">
        <f t="shared" si="3"/>
        <v>-0.15553180466610653</v>
      </c>
      <c r="M38" s="12">
        <f t="shared" si="3"/>
        <v>-0.1252967990563705</v>
      </c>
      <c r="N38" s="12">
        <f t="shared" si="3"/>
        <v>-0.01384517628957776</v>
      </c>
      <c r="O38" s="12">
        <f t="shared" si="3"/>
        <v>-0.01899034342033421</v>
      </c>
      <c r="P38" s="267"/>
      <c r="Q38" s="12" t="e">
        <f>Q33/Q55</f>
        <v>#DIV/0!</v>
      </c>
      <c r="R38" s="267"/>
      <c r="S38" s="267"/>
      <c r="T38" s="267"/>
      <c r="U38" s="12" t="e">
        <f>U33/U55</f>
        <v>#DIV/0!</v>
      </c>
      <c r="V38" s="267"/>
      <c r="W38" s="12">
        <f>W33/W55</f>
        <v>-0.13699227805044453</v>
      </c>
      <c r="X38" s="12">
        <f>X33/X55</f>
        <v>-0.12394976035303164</v>
      </c>
      <c r="Y38" s="12">
        <f>Y33/Y55</f>
        <v>-0.1252967990563705</v>
      </c>
      <c r="Z38" s="12"/>
      <c r="AA38" s="12"/>
      <c r="AB38" s="12"/>
      <c r="AC38" s="12"/>
      <c r="AD38" s="12"/>
      <c r="AE38" s="12"/>
      <c r="AF38" s="12"/>
      <c r="AG38" s="12"/>
      <c r="AH38" s="12"/>
      <c r="AI38" s="12"/>
      <c r="AJ38" s="235"/>
      <c r="AK38" s="12"/>
      <c r="AL38" s="12"/>
      <c r="AM38" s="12"/>
      <c r="AN38" s="12"/>
      <c r="AO38" s="12"/>
      <c r="AP38" s="12"/>
      <c r="AQ38" s="12"/>
      <c r="AR38" s="12"/>
      <c r="AS38" s="12"/>
    </row>
    <row r="39" spans="1:25" ht="12.75">
      <c r="A39" s="298"/>
      <c r="B39" s="299"/>
      <c r="C39" s="299"/>
      <c r="D39" s="299"/>
      <c r="E39" s="299"/>
      <c r="F39" s="299"/>
      <c r="G39" s="299"/>
      <c r="H39" s="299"/>
      <c r="I39" s="299"/>
      <c r="J39" s="299"/>
      <c r="K39" s="299"/>
      <c r="L39" s="299"/>
      <c r="M39" s="299"/>
      <c r="N39" s="299"/>
      <c r="O39" s="299"/>
      <c r="Q39" s="299"/>
      <c r="R39" s="299"/>
      <c r="S39" s="299"/>
      <c r="T39" s="299"/>
      <c r="U39" s="299"/>
      <c r="V39" s="299"/>
      <c r="W39" s="299"/>
      <c r="X39" s="299"/>
      <c r="Y39" s="299"/>
    </row>
    <row r="40" spans="1:25" s="300" customFormat="1" ht="12.75">
      <c r="A40" s="286" t="s">
        <v>132</v>
      </c>
      <c r="B40" s="4" t="s">
        <v>210</v>
      </c>
      <c r="C40" s="4" t="s">
        <v>211</v>
      </c>
      <c r="D40" s="4" t="s">
        <v>213</v>
      </c>
      <c r="E40" s="4" t="s">
        <v>218</v>
      </c>
      <c r="F40" s="4" t="s">
        <v>225</v>
      </c>
      <c r="G40" s="4" t="s">
        <v>231</v>
      </c>
      <c r="H40" s="4" t="s">
        <v>241</v>
      </c>
      <c r="I40" s="4" t="s">
        <v>244</v>
      </c>
      <c r="J40" s="4" t="s">
        <v>245</v>
      </c>
      <c r="K40" s="4" t="s">
        <v>247</v>
      </c>
      <c r="L40" s="4" t="s">
        <v>252</v>
      </c>
      <c r="M40" s="4" t="s">
        <v>259</v>
      </c>
      <c r="N40" s="4" t="s">
        <v>266</v>
      </c>
      <c r="O40" s="4" t="s">
        <v>269</v>
      </c>
      <c r="Q40" s="4">
        <v>2008</v>
      </c>
      <c r="R40" s="4">
        <v>2009</v>
      </c>
      <c r="S40" s="4">
        <v>2010</v>
      </c>
      <c r="T40" s="4">
        <v>2008</v>
      </c>
      <c r="U40" s="4">
        <v>2009</v>
      </c>
      <c r="V40" s="4">
        <v>2010</v>
      </c>
      <c r="W40" s="4">
        <v>2011</v>
      </c>
      <c r="X40" s="4">
        <v>2012</v>
      </c>
      <c r="Y40" s="4">
        <v>2013</v>
      </c>
    </row>
    <row r="41" spans="1:25" ht="22.5">
      <c r="A41" s="301" t="s">
        <v>52</v>
      </c>
      <c r="B41" s="295" t="s">
        <v>139</v>
      </c>
      <c r="C41" s="295" t="s">
        <v>139</v>
      </c>
      <c r="D41" s="295" t="s">
        <v>139</v>
      </c>
      <c r="E41" s="295">
        <v>103.642</v>
      </c>
      <c r="F41" s="295" t="s">
        <v>139</v>
      </c>
      <c r="G41" s="295" t="s">
        <v>139</v>
      </c>
      <c r="H41" s="295" t="s">
        <v>139</v>
      </c>
      <c r="I41" s="295">
        <v>173.174</v>
      </c>
      <c r="J41" s="295" t="s">
        <v>139</v>
      </c>
      <c r="K41" s="295" t="s">
        <v>139</v>
      </c>
      <c r="L41" s="295" t="s">
        <v>139</v>
      </c>
      <c r="M41" s="295">
        <v>48.483</v>
      </c>
      <c r="N41" s="295" t="s">
        <v>139</v>
      </c>
      <c r="O41" s="295" t="s">
        <v>139</v>
      </c>
      <c r="Q41" s="295"/>
      <c r="R41" s="295"/>
      <c r="S41" s="295"/>
      <c r="T41" s="295"/>
      <c r="U41" s="295"/>
      <c r="V41" s="295"/>
      <c r="W41" s="295">
        <f>E41</f>
        <v>103.642</v>
      </c>
      <c r="X41" s="295">
        <f>I41</f>
        <v>173.174</v>
      </c>
      <c r="Y41" s="295">
        <f>M41</f>
        <v>48.483</v>
      </c>
    </row>
    <row r="42" spans="1:25" s="302" customFormat="1" ht="12.75">
      <c r="A42" s="289"/>
      <c r="B42" s="31"/>
      <c r="C42" s="31"/>
      <c r="D42" s="31"/>
      <c r="E42" s="31"/>
      <c r="F42" s="31"/>
      <c r="G42" s="31"/>
      <c r="H42" s="31"/>
      <c r="I42" s="31"/>
      <c r="J42" s="31"/>
      <c r="K42" s="31"/>
      <c r="L42" s="31"/>
      <c r="M42" s="31"/>
      <c r="N42" s="31"/>
      <c r="O42" s="31"/>
      <c r="Q42" s="31"/>
      <c r="R42" s="31"/>
      <c r="S42" s="31"/>
      <c r="T42" s="31"/>
      <c r="U42" s="31"/>
      <c r="V42" s="31"/>
      <c r="W42" s="31"/>
      <c r="X42" s="14">
        <f>X41/W41-1</f>
        <v>0.6708863202176725</v>
      </c>
      <c r="Y42" s="14">
        <f>Y41/X41-1</f>
        <v>-0.7200330303625255</v>
      </c>
    </row>
    <row r="43" spans="1:25" s="300" customFormat="1" ht="12.75">
      <c r="A43" s="298"/>
      <c r="B43" s="299"/>
      <c r="C43" s="299"/>
      <c r="D43" s="299"/>
      <c r="E43" s="299"/>
      <c r="F43" s="299"/>
      <c r="G43" s="299"/>
      <c r="H43" s="299"/>
      <c r="I43" s="299"/>
      <c r="J43" s="299"/>
      <c r="K43" s="299"/>
      <c r="L43" s="299"/>
      <c r="M43" s="299"/>
      <c r="N43" s="299"/>
      <c r="O43" s="299"/>
      <c r="Q43" s="299"/>
      <c r="R43" s="299"/>
      <c r="S43" s="299"/>
      <c r="T43" s="299"/>
      <c r="U43" s="299"/>
      <c r="V43" s="299"/>
      <c r="W43" s="299"/>
      <c r="X43" s="299"/>
      <c r="Y43" s="299"/>
    </row>
    <row r="44" spans="1:25" ht="12.75">
      <c r="A44" s="2" t="s">
        <v>263</v>
      </c>
      <c r="B44" s="4" t="s">
        <v>210</v>
      </c>
      <c r="C44" s="4" t="s">
        <v>211</v>
      </c>
      <c r="D44" s="4" t="s">
        <v>213</v>
      </c>
      <c r="E44" s="4" t="s">
        <v>218</v>
      </c>
      <c r="F44" s="4" t="s">
        <v>225</v>
      </c>
      <c r="G44" s="4" t="s">
        <v>231</v>
      </c>
      <c r="H44" s="4" t="s">
        <v>241</v>
      </c>
      <c r="I44" s="4" t="s">
        <v>244</v>
      </c>
      <c r="J44" s="4" t="s">
        <v>245</v>
      </c>
      <c r="K44" s="4" t="s">
        <v>247</v>
      </c>
      <c r="L44" s="4" t="s">
        <v>252</v>
      </c>
      <c r="M44" s="4" t="s">
        <v>259</v>
      </c>
      <c r="N44" s="4" t="s">
        <v>266</v>
      </c>
      <c r="O44" s="4" t="s">
        <v>269</v>
      </c>
      <c r="Q44" s="4">
        <v>2008</v>
      </c>
      <c r="R44" s="4">
        <v>2009</v>
      </c>
      <c r="S44" s="4">
        <v>2010</v>
      </c>
      <c r="T44" s="4">
        <v>2008</v>
      </c>
      <c r="U44" s="4">
        <v>2009</v>
      </c>
      <c r="V44" s="4">
        <v>2010</v>
      </c>
      <c r="W44" s="4">
        <v>2011</v>
      </c>
      <c r="X44" s="4">
        <v>2012</v>
      </c>
      <c r="Y44" s="4">
        <v>2013</v>
      </c>
    </row>
    <row r="45" spans="1:25" ht="12.75">
      <c r="A45" s="287" t="s">
        <v>14</v>
      </c>
      <c r="B45" s="242">
        <f>B29/(B25)</f>
        <v>0.015143140004950087</v>
      </c>
      <c r="C45" s="242">
        <f>C29/(C25)</f>
        <v>0.02446066308784205</v>
      </c>
      <c r="D45" s="242">
        <f>D29/(D25+0.196)</f>
        <v>-0.11842141828348725</v>
      </c>
      <c r="E45" s="242">
        <f>E29/(E25)</f>
        <v>-0.12815689383397422</v>
      </c>
      <c r="F45" s="242">
        <f>F29/(F25)</f>
        <v>-0.06347253076152275</v>
      </c>
      <c r="G45" s="242">
        <f>G29/(G25)</f>
        <v>-0.05904617676290775</v>
      </c>
      <c r="H45" s="242">
        <f>H29/(H25)</f>
        <v>-0.08267071022648428</v>
      </c>
      <c r="I45" s="242">
        <f>I29/(I25)</f>
        <v>-0.10006715354912854</v>
      </c>
      <c r="J45" s="242">
        <f>J29/(J25+0.559)</f>
        <v>-0.09063088195134138</v>
      </c>
      <c r="K45" s="242">
        <f>K29/(K25+1.172)</f>
        <v>-0.11883882594929754</v>
      </c>
      <c r="L45" s="242">
        <f>L29/(L25+1.698)</f>
        <v>-0.11613067536210432</v>
      </c>
      <c r="M45" s="242">
        <f>M29/(M25+1.698)</f>
        <v>-0.09380199682393096</v>
      </c>
      <c r="N45" s="242">
        <f>N29/(N25+0.559)</f>
        <v>0.005934793683138054</v>
      </c>
      <c r="O45" s="242">
        <f>O29/(O25+0.559)</f>
        <v>0.0016928443469454615</v>
      </c>
      <c r="Q45" s="242"/>
      <c r="R45" s="242"/>
      <c r="S45" s="242"/>
      <c r="T45" s="242"/>
      <c r="U45" s="242"/>
      <c r="V45" s="242"/>
      <c r="W45" s="242">
        <f>E45</f>
        <v>-0.12815689383397422</v>
      </c>
      <c r="X45" s="242">
        <f>I45</f>
        <v>-0.10006715354912854</v>
      </c>
      <c r="Y45" s="242">
        <f>M45</f>
        <v>-0.09380199682393096</v>
      </c>
    </row>
    <row r="46" spans="1:25" ht="12.75">
      <c r="A46" s="287" t="s">
        <v>133</v>
      </c>
      <c r="B46" s="303" t="s">
        <v>139</v>
      </c>
      <c r="C46" s="303" t="s">
        <v>139</v>
      </c>
      <c r="D46" s="303" t="s">
        <v>139</v>
      </c>
      <c r="E46" s="303">
        <f>E29/E41</f>
        <v>-2.944848613496459</v>
      </c>
      <c r="F46" s="303" t="s">
        <v>139</v>
      </c>
      <c r="G46" s="303" t="s">
        <v>139</v>
      </c>
      <c r="H46" s="303" t="s">
        <v>139</v>
      </c>
      <c r="I46" s="303">
        <f>I29/I41</f>
        <v>-2.003193320013397</v>
      </c>
      <c r="J46" s="303" t="s">
        <v>139</v>
      </c>
      <c r="K46" s="303" t="s">
        <v>139</v>
      </c>
      <c r="L46" s="303" t="s">
        <v>139</v>
      </c>
      <c r="M46" s="303">
        <f>M29/M41</f>
        <v>-5.3045809871501355</v>
      </c>
      <c r="N46" s="303" t="s">
        <v>139</v>
      </c>
      <c r="O46" s="303" t="s">
        <v>139</v>
      </c>
      <c r="Q46" s="303"/>
      <c r="R46" s="303"/>
      <c r="S46" s="303"/>
      <c r="T46" s="303"/>
      <c r="U46" s="303"/>
      <c r="V46" s="303"/>
      <c r="W46" s="303">
        <f>E46</f>
        <v>-2.944848613496459</v>
      </c>
      <c r="X46" s="303">
        <f>I46</f>
        <v>-2.003193320013397</v>
      </c>
      <c r="Y46" s="303">
        <f>M46</f>
        <v>-5.3045809871501355</v>
      </c>
    </row>
    <row r="47" spans="1:25" ht="12.75">
      <c r="A47" s="287" t="s">
        <v>134</v>
      </c>
      <c r="B47" s="303" t="s">
        <v>139</v>
      </c>
      <c r="C47" s="303" t="s">
        <v>139</v>
      </c>
      <c r="D47" s="303" t="s">
        <v>139</v>
      </c>
      <c r="E47" s="303">
        <f>E41/E27</f>
        <v>0.8677908768169335</v>
      </c>
      <c r="F47" s="303" t="s">
        <v>139</v>
      </c>
      <c r="G47" s="303" t="s">
        <v>139</v>
      </c>
      <c r="H47" s="303" t="s">
        <v>139</v>
      </c>
      <c r="I47" s="303">
        <f>I41/I27</f>
        <v>0.8724130982367758</v>
      </c>
      <c r="J47" s="303" t="s">
        <v>139</v>
      </c>
      <c r="K47" s="303" t="s">
        <v>139</v>
      </c>
      <c r="L47" s="303" t="s">
        <v>139</v>
      </c>
      <c r="M47" s="303">
        <f>M41/M27</f>
        <v>0.29708994871103533</v>
      </c>
      <c r="N47" s="303" t="s">
        <v>139</v>
      </c>
      <c r="O47" s="303" t="s">
        <v>139</v>
      </c>
      <c r="Q47" s="303"/>
      <c r="R47" s="303"/>
      <c r="S47" s="303"/>
      <c r="T47" s="303"/>
      <c r="U47" s="303"/>
      <c r="V47" s="303"/>
      <c r="W47" s="303">
        <f>E47</f>
        <v>0.8677908768169335</v>
      </c>
      <c r="X47" s="303">
        <f>I47</f>
        <v>0.8724130982367758</v>
      </c>
      <c r="Y47" s="303">
        <f>M47</f>
        <v>0.29708994871103533</v>
      </c>
    </row>
    <row r="48" spans="1:25" ht="12.75">
      <c r="A48" s="292"/>
      <c r="B48" s="295"/>
      <c r="C48" s="295"/>
      <c r="D48" s="295"/>
      <c r="E48" s="295"/>
      <c r="F48" s="295"/>
      <c r="G48" s="295"/>
      <c r="H48" s="295"/>
      <c r="I48" s="295"/>
      <c r="J48" s="295"/>
      <c r="K48" s="295"/>
      <c r="L48" s="295"/>
      <c r="M48" s="295"/>
      <c r="N48" s="295"/>
      <c r="O48" s="295"/>
      <c r="Q48" s="295"/>
      <c r="R48" s="295"/>
      <c r="S48" s="295"/>
      <c r="T48" s="295"/>
      <c r="U48" s="295"/>
      <c r="V48" s="295"/>
      <c r="W48" s="295"/>
      <c r="X48" s="295"/>
      <c r="Y48" s="295"/>
    </row>
    <row r="49" spans="1:25" ht="12.75">
      <c r="A49" s="292" t="s">
        <v>223</v>
      </c>
      <c r="B49" s="304">
        <f aca="true" t="shared" si="4" ref="B49:M49">B29/B4*1000</f>
        <v>13.034161508356714</v>
      </c>
      <c r="C49" s="304">
        <f t="shared" si="4"/>
        <v>22.77533688085445</v>
      </c>
      <c r="D49" s="304">
        <f t="shared" si="4"/>
        <v>-118.44130015949865</v>
      </c>
      <c r="E49" s="297">
        <f t="shared" si="4"/>
        <v>-125.31745191642038</v>
      </c>
      <c r="F49" s="297">
        <f t="shared" si="4"/>
        <v>-55.58517867537902</v>
      </c>
      <c r="G49" s="297">
        <f t="shared" si="4"/>
        <v>-52.72781887108983</v>
      </c>
      <c r="H49" s="297">
        <f t="shared" si="4"/>
        <v>-72.3594344333637</v>
      </c>
      <c r="I49" s="297">
        <f t="shared" si="4"/>
        <v>-87.09179865875078</v>
      </c>
      <c r="J49" s="297">
        <f t="shared" si="4"/>
        <v>-77.14591424286063</v>
      </c>
      <c r="K49" s="297">
        <f t="shared" si="4"/>
        <v>-96.75906036766563</v>
      </c>
      <c r="L49" s="297">
        <f t="shared" si="4"/>
        <v>-93.77356825718897</v>
      </c>
      <c r="M49" s="297">
        <f t="shared" si="4"/>
        <v>-75.95533716616823</v>
      </c>
      <c r="N49" s="297">
        <f>N29/N4*1000</f>
        <v>5.018604248364088</v>
      </c>
      <c r="O49" s="297">
        <f>O29/O4*1000</f>
        <v>1.4153824575571723</v>
      </c>
      <c r="Q49" s="304"/>
      <c r="R49" s="304"/>
      <c r="S49" s="304"/>
      <c r="T49" s="304"/>
      <c r="U49" s="304"/>
      <c r="V49" s="304"/>
      <c r="W49" s="297">
        <f>E49</f>
        <v>-125.31745191642038</v>
      </c>
      <c r="X49" s="297">
        <f>I49</f>
        <v>-87.09179865875078</v>
      </c>
      <c r="Y49" s="297">
        <f>M49</f>
        <v>-75.95533716616823</v>
      </c>
    </row>
    <row r="50" spans="1:25" ht="12.75">
      <c r="A50" s="298"/>
      <c r="B50" s="299"/>
      <c r="C50" s="299"/>
      <c r="D50" s="299"/>
      <c r="E50" s="299"/>
      <c r="F50" s="299"/>
      <c r="G50" s="299"/>
      <c r="H50" s="299"/>
      <c r="I50" s="299"/>
      <c r="J50" s="299"/>
      <c r="K50" s="299"/>
      <c r="L50" s="299"/>
      <c r="M50" s="299"/>
      <c r="N50" s="299"/>
      <c r="O50" s="299"/>
      <c r="Q50" s="299"/>
      <c r="R50" s="299"/>
      <c r="S50" s="299"/>
      <c r="T50" s="299"/>
      <c r="U50" s="299"/>
      <c r="V50" s="299"/>
      <c r="W50" s="299"/>
      <c r="X50" s="299"/>
      <c r="Y50" s="299"/>
    </row>
    <row r="51" ht="12.75">
      <c r="A51" s="7" t="s">
        <v>238</v>
      </c>
    </row>
    <row r="52" spans="1:25" ht="12.75">
      <c r="A52" s="305"/>
      <c r="E52" s="304"/>
      <c r="F52" s="304"/>
      <c r="G52" s="304"/>
      <c r="H52" s="304"/>
      <c r="I52" s="304"/>
      <c r="J52" s="304"/>
      <c r="K52" s="304"/>
      <c r="L52" s="304"/>
      <c r="M52" s="304"/>
      <c r="N52" s="304"/>
      <c r="O52" s="304"/>
      <c r="P52" s="304"/>
      <c r="Q52" s="304"/>
      <c r="R52" s="304"/>
      <c r="S52" s="304"/>
      <c r="T52" s="304"/>
      <c r="U52" s="304"/>
      <c r="V52" s="304"/>
      <c r="W52" s="304"/>
      <c r="X52" s="304"/>
      <c r="Y52" s="304"/>
    </row>
    <row r="53" spans="1:25" ht="12.75">
      <c r="A53" s="305"/>
      <c r="E53" s="304"/>
      <c r="F53" s="304"/>
      <c r="G53" s="304"/>
      <c r="H53" s="304"/>
      <c r="I53" s="304"/>
      <c r="J53" s="304"/>
      <c r="K53" s="304"/>
      <c r="L53" s="304"/>
      <c r="M53" s="304"/>
      <c r="N53" s="304"/>
      <c r="O53" s="304"/>
      <c r="P53" s="304"/>
      <c r="Q53" s="304"/>
      <c r="R53" s="304"/>
      <c r="S53" s="304"/>
      <c r="T53" s="304"/>
      <c r="U53" s="304"/>
      <c r="V53" s="304"/>
      <c r="W53" s="304"/>
      <c r="X53" s="304"/>
      <c r="Y53" s="304"/>
    </row>
    <row r="54" spans="1:25" ht="12.75" outlineLevel="1">
      <c r="A54" s="336" t="s">
        <v>273</v>
      </c>
      <c r="E54" s="304">
        <v>3.1817675354989023</v>
      </c>
      <c r="F54" s="304">
        <v>0</v>
      </c>
      <c r="G54" s="304">
        <v>0</v>
      </c>
      <c r="H54" s="304">
        <v>1.336</v>
      </c>
      <c r="I54" s="304">
        <v>1.336</v>
      </c>
      <c r="J54" s="304">
        <v>0.559</v>
      </c>
      <c r="K54" s="304">
        <v>1.172</v>
      </c>
      <c r="L54" s="304">
        <v>1.698</v>
      </c>
      <c r="M54" s="304">
        <v>1.698</v>
      </c>
      <c r="N54" s="304">
        <v>0</v>
      </c>
      <c r="O54" s="304">
        <v>0</v>
      </c>
      <c r="P54" s="304"/>
      <c r="Q54" s="304"/>
      <c r="R54" s="304"/>
      <c r="S54" s="304"/>
      <c r="T54" s="304"/>
      <c r="U54" s="304"/>
      <c r="V54" s="304"/>
      <c r="W54" s="304">
        <f>E54</f>
        <v>3.1817675354989023</v>
      </c>
      <c r="X54" s="304">
        <f>I54</f>
        <v>1.336</v>
      </c>
      <c r="Y54" s="304">
        <f>M54</f>
        <v>1.698</v>
      </c>
    </row>
    <row r="55" spans="1:25" ht="12.75" outlineLevel="1">
      <c r="A55" s="336" t="s">
        <v>274</v>
      </c>
      <c r="B55" s="304"/>
      <c r="C55" s="304"/>
      <c r="D55" s="304"/>
      <c r="E55" s="304">
        <f>E54+E25</f>
        <v>2384.715767535499</v>
      </c>
      <c r="F55" s="304">
        <f aca="true" t="shared" si="5" ref="F55:Y55">F54+F25</f>
        <v>988.979</v>
      </c>
      <c r="G55" s="304">
        <f t="shared" si="5"/>
        <v>2015.321</v>
      </c>
      <c r="H55" s="304">
        <f t="shared" si="5"/>
        <v>2775.7889999999998</v>
      </c>
      <c r="I55" s="304">
        <f t="shared" si="5"/>
        <v>3468.0179999999996</v>
      </c>
      <c r="J55" s="304">
        <f t="shared" si="5"/>
        <v>816.587</v>
      </c>
      <c r="K55" s="304">
        <f t="shared" si="5"/>
        <v>1546.986</v>
      </c>
      <c r="L55" s="304">
        <f t="shared" si="5"/>
        <v>2296.99</v>
      </c>
      <c r="M55" s="304">
        <f t="shared" si="5"/>
        <v>2741.754</v>
      </c>
      <c r="N55" s="304">
        <f t="shared" si="5"/>
        <v>470.561</v>
      </c>
      <c r="O55" s="304">
        <f t="shared" si="5"/>
        <v>1003.668</v>
      </c>
      <c r="P55" s="304"/>
      <c r="Q55" s="304">
        <f t="shared" si="5"/>
        <v>0</v>
      </c>
      <c r="R55" s="304">
        <f t="shared" si="5"/>
        <v>0</v>
      </c>
      <c r="S55" s="304">
        <f t="shared" si="5"/>
        <v>0</v>
      </c>
      <c r="T55" s="304">
        <f t="shared" si="5"/>
        <v>0</v>
      </c>
      <c r="U55" s="304">
        <f t="shared" si="5"/>
        <v>0</v>
      </c>
      <c r="V55" s="304">
        <f t="shared" si="5"/>
        <v>0</v>
      </c>
      <c r="W55" s="304">
        <f t="shared" si="5"/>
        <v>2384.715767535499</v>
      </c>
      <c r="X55" s="304">
        <f t="shared" si="5"/>
        <v>3468.0179999999996</v>
      </c>
      <c r="Y55" s="304">
        <f t="shared" si="5"/>
        <v>2741.754</v>
      </c>
    </row>
    <row r="57" ht="12.75">
      <c r="A57" s="306"/>
    </row>
    <row r="58" ht="12.75">
      <c r="A58" s="306"/>
    </row>
  </sheetData>
  <sheetProtection/>
  <printOptions/>
  <pageMargins left="0.25" right="0.25"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AS16"/>
  <sheetViews>
    <sheetView showGridLines="0" view="pageBreakPreview" zoomScale="85" zoomScaleSheetLayoutView="85" zoomScalePageLayoutView="0" workbookViewId="0" topLeftCell="A1">
      <selection activeCell="AA18" sqref="AA18"/>
    </sheetView>
  </sheetViews>
  <sheetFormatPr defaultColWidth="9.140625" defaultRowHeight="12.75" outlineLevelCol="1"/>
  <cols>
    <col min="1" max="1" width="27.57421875" style="1" customWidth="1"/>
    <col min="2" max="8" width="9.00390625" style="1" hidden="1" customWidth="1" outlineLevel="1"/>
    <col min="9" max="9" width="9.00390625" style="1" customWidth="1" collapsed="1"/>
    <col min="10" max="12" width="9.00390625" style="1" hidden="1" customWidth="1" outlineLevel="1"/>
    <col min="13" max="13" width="6.8515625" style="1" customWidth="1" collapsed="1"/>
    <col min="14" max="16" width="9.00390625" style="1" hidden="1" customWidth="1" outlineLevel="1"/>
    <col min="17" max="17" width="6.8515625" style="1" customWidth="1" collapsed="1"/>
    <col min="18" max="20" width="6.8515625" style="1" hidden="1" customWidth="1" outlineLevel="1"/>
    <col min="21" max="21" width="6.8515625" style="1" customWidth="1" collapsed="1"/>
    <col min="22" max="24" width="6.8515625" style="1" hidden="1" customWidth="1" outlineLevel="1"/>
    <col min="25" max="25" width="6.8515625" style="1" customWidth="1" collapsed="1"/>
    <col min="26" max="35" width="6.8515625" style="1" customWidth="1"/>
    <col min="36" max="36" width="9.00390625" style="50" customWidth="1"/>
    <col min="37" max="45" width="6.8515625" style="1" customWidth="1"/>
    <col min="46" max="16384" width="9.140625" style="1" customWidth="1"/>
  </cols>
  <sheetData>
    <row r="1" spans="1:13" ht="12.75">
      <c r="A1" s="1" t="s">
        <v>24</v>
      </c>
      <c r="L1" s="48"/>
      <c r="M1" s="48"/>
    </row>
    <row r="2" spans="1:40" ht="12.75">
      <c r="A2" s="18"/>
      <c r="B2" s="27"/>
      <c r="C2" s="27"/>
      <c r="D2" s="27"/>
      <c r="E2" s="27"/>
      <c r="F2" s="27"/>
      <c r="G2" s="27"/>
      <c r="H2" s="28"/>
      <c r="I2" s="28"/>
      <c r="J2" s="45"/>
      <c r="K2" s="27"/>
      <c r="L2" s="19"/>
      <c r="M2" s="19"/>
      <c r="N2" s="45"/>
      <c r="O2" s="45"/>
      <c r="P2" s="45"/>
      <c r="Q2" s="45"/>
      <c r="R2" s="45"/>
      <c r="S2" s="45"/>
      <c r="T2" s="45"/>
      <c r="U2" s="45"/>
      <c r="V2" s="45"/>
      <c r="W2" s="45"/>
      <c r="X2" s="45"/>
      <c r="Y2" s="45"/>
      <c r="Z2" s="45"/>
      <c r="AA2" s="45"/>
      <c r="AB2" s="45"/>
      <c r="AC2" s="45"/>
      <c r="AD2" s="45"/>
      <c r="AE2" s="45"/>
      <c r="AF2" s="45"/>
      <c r="AG2" s="45"/>
      <c r="AH2" s="45"/>
      <c r="AI2" s="45"/>
      <c r="AJ2" s="45"/>
      <c r="AK2" s="19"/>
      <c r="AL2" s="19"/>
      <c r="AM2" s="19"/>
      <c r="AN2" s="19"/>
    </row>
    <row r="3" spans="1:45" ht="12.75">
      <c r="A3" s="2" t="s">
        <v>1</v>
      </c>
      <c r="B3" s="3" t="s">
        <v>6</v>
      </c>
      <c r="C3" s="4" t="s">
        <v>20</v>
      </c>
      <c r="D3" s="4" t="s">
        <v>21</v>
      </c>
      <c r="E3" s="4" t="s">
        <v>22</v>
      </c>
      <c r="F3" s="3" t="s">
        <v>0</v>
      </c>
      <c r="G3" s="3" t="s">
        <v>19</v>
      </c>
      <c r="H3" s="4" t="s">
        <v>18</v>
      </c>
      <c r="I3" s="4" t="s">
        <v>136</v>
      </c>
      <c r="J3" s="5" t="s">
        <v>160</v>
      </c>
      <c r="K3" s="3" t="s">
        <v>163</v>
      </c>
      <c r="L3" s="3" t="s">
        <v>164</v>
      </c>
      <c r="M3" s="3" t="s">
        <v>167</v>
      </c>
      <c r="N3" s="4" t="s">
        <v>172</v>
      </c>
      <c r="O3" s="4" t="s">
        <v>181</v>
      </c>
      <c r="P3" s="4" t="s">
        <v>183</v>
      </c>
      <c r="Q3" s="4" t="s">
        <v>185</v>
      </c>
      <c r="R3" s="4" t="s">
        <v>187</v>
      </c>
      <c r="S3" s="4" t="s">
        <v>202</v>
      </c>
      <c r="T3" s="4" t="s">
        <v>205</v>
      </c>
      <c r="U3" s="4" t="s">
        <v>206</v>
      </c>
      <c r="V3" s="4" t="s">
        <v>210</v>
      </c>
      <c r="W3" s="4" t="s">
        <v>211</v>
      </c>
      <c r="X3" s="4" t="s">
        <v>213</v>
      </c>
      <c r="Y3" s="4" t="s">
        <v>218</v>
      </c>
      <c r="Z3" s="4" t="s">
        <v>225</v>
      </c>
      <c r="AA3" s="4" t="s">
        <v>231</v>
      </c>
      <c r="AB3" s="4" t="s">
        <v>241</v>
      </c>
      <c r="AC3" s="4" t="s">
        <v>244</v>
      </c>
      <c r="AD3" s="4" t="s">
        <v>245</v>
      </c>
      <c r="AE3" s="4" t="s">
        <v>247</v>
      </c>
      <c r="AF3" s="4" t="s">
        <v>252</v>
      </c>
      <c r="AG3" s="4" t="s">
        <v>259</v>
      </c>
      <c r="AH3" s="4" t="s">
        <v>266</v>
      </c>
      <c r="AI3" s="4" t="s">
        <v>269</v>
      </c>
      <c r="AJ3" s="6"/>
      <c r="AK3" s="4">
        <v>2005</v>
      </c>
      <c r="AL3" s="4">
        <v>2006</v>
      </c>
      <c r="AM3" s="4">
        <v>2007</v>
      </c>
      <c r="AN3" s="4">
        <v>2008</v>
      </c>
      <c r="AO3" s="4">
        <v>2009</v>
      </c>
      <c r="AP3" s="4">
        <v>2010</v>
      </c>
      <c r="AQ3" s="4">
        <v>2011</v>
      </c>
      <c r="AR3" s="4">
        <v>2012</v>
      </c>
      <c r="AS3" s="4">
        <v>2013</v>
      </c>
    </row>
    <row r="4" spans="1:45" ht="12.75">
      <c r="A4" s="7" t="s">
        <v>26</v>
      </c>
      <c r="B4" s="8">
        <v>21.777</v>
      </c>
      <c r="C4" s="21">
        <v>51.497</v>
      </c>
      <c r="D4" s="21">
        <v>92.993</v>
      </c>
      <c r="E4" s="21">
        <v>115.203</v>
      </c>
      <c r="F4" s="21">
        <v>22.855</v>
      </c>
      <c r="G4" s="21">
        <v>44.457</v>
      </c>
      <c r="H4" s="22">
        <v>66.298</v>
      </c>
      <c r="I4" s="22">
        <v>87.999</v>
      </c>
      <c r="J4" s="23">
        <v>20.14</v>
      </c>
      <c r="K4" s="21">
        <v>41.41</v>
      </c>
      <c r="L4" s="21">
        <v>62.722</v>
      </c>
      <c r="M4" s="21">
        <v>82.834</v>
      </c>
      <c r="N4" s="23">
        <v>4.125</v>
      </c>
      <c r="O4" s="23">
        <v>4.427</v>
      </c>
      <c r="P4" s="23">
        <v>4.882</v>
      </c>
      <c r="Q4" s="23">
        <v>5.272</v>
      </c>
      <c r="R4" s="46">
        <v>0.357</v>
      </c>
      <c r="S4" s="46">
        <v>0.855</v>
      </c>
      <c r="T4" s="46">
        <v>0.862</v>
      </c>
      <c r="U4" s="46">
        <v>1.175</v>
      </c>
      <c r="V4" s="46">
        <v>0</v>
      </c>
      <c r="W4" s="46">
        <v>0.471</v>
      </c>
      <c r="X4" s="283">
        <v>0.698</v>
      </c>
      <c r="Y4" s="283">
        <v>1.245</v>
      </c>
      <c r="Z4" s="283">
        <v>0</v>
      </c>
      <c r="AA4" s="283">
        <v>0.096</v>
      </c>
      <c r="AB4" s="283">
        <v>0.426</v>
      </c>
      <c r="AC4" s="283">
        <v>0.672</v>
      </c>
      <c r="AD4" s="283">
        <v>0.307</v>
      </c>
      <c r="AE4" s="283">
        <v>0.601</v>
      </c>
      <c r="AF4" s="283">
        <v>0.614</v>
      </c>
      <c r="AG4" s="283">
        <v>0.627</v>
      </c>
      <c r="AH4" s="283">
        <v>0.036</v>
      </c>
      <c r="AI4" s="283">
        <v>0.085</v>
      </c>
      <c r="AJ4" s="23"/>
      <c r="AK4" s="8">
        <v>85.909</v>
      </c>
      <c r="AL4" s="21">
        <v>115.203</v>
      </c>
      <c r="AM4" s="22">
        <v>87.999</v>
      </c>
      <c r="AN4" s="21">
        <v>82.834</v>
      </c>
      <c r="AO4" s="21">
        <f>Q4</f>
        <v>5.272</v>
      </c>
      <c r="AP4" s="21">
        <f>U4</f>
        <v>1.175</v>
      </c>
      <c r="AQ4" s="21">
        <f>Y4</f>
        <v>1.245</v>
      </c>
      <c r="AR4" s="21">
        <f>AC4</f>
        <v>0.672</v>
      </c>
      <c r="AS4" s="21">
        <f>AG4</f>
        <v>0.627</v>
      </c>
    </row>
    <row r="5" spans="1:45" s="15" customFormat="1" ht="12.75">
      <c r="A5" s="9" t="s">
        <v>137</v>
      </c>
      <c r="B5" s="10"/>
      <c r="C5" s="11"/>
      <c r="D5" s="11"/>
      <c r="E5" s="14"/>
      <c r="F5" s="11"/>
      <c r="G5" s="11"/>
      <c r="H5" s="11"/>
      <c r="I5" s="14"/>
      <c r="J5" s="13"/>
      <c r="K5" s="11"/>
      <c r="L5" s="12"/>
      <c r="M5" s="12"/>
      <c r="N5" s="13"/>
      <c r="O5" s="13"/>
      <c r="P5" s="13"/>
      <c r="Q5" s="13"/>
      <c r="R5" s="13"/>
      <c r="S5" s="13"/>
      <c r="T5" s="13"/>
      <c r="U5" s="13"/>
      <c r="V5" s="13"/>
      <c r="W5" s="13"/>
      <c r="X5" s="13"/>
      <c r="Y5" s="13"/>
      <c r="Z5" s="13"/>
      <c r="AA5" s="13"/>
      <c r="AB5" s="13"/>
      <c r="AC5" s="13"/>
      <c r="AD5" s="13"/>
      <c r="AE5" s="13"/>
      <c r="AF5" s="13"/>
      <c r="AG5" s="13"/>
      <c r="AH5" s="13"/>
      <c r="AI5" s="13"/>
      <c r="AJ5" s="13"/>
      <c r="AK5" s="10"/>
      <c r="AL5" s="14">
        <v>0.3409887206229847</v>
      </c>
      <c r="AM5" s="14">
        <v>-0.23613968386239947</v>
      </c>
      <c r="AN5" s="14">
        <v>-0.0586938487937362</v>
      </c>
      <c r="AO5" s="14">
        <f>AO4/AN4-1</f>
        <v>-0.936354636984813</v>
      </c>
      <c r="AP5" s="14">
        <f>AP4/AO4-1</f>
        <v>-0.7771244309559939</v>
      </c>
      <c r="AQ5" s="14">
        <f>AQ4/AP4-1</f>
        <v>0.05957446808510647</v>
      </c>
      <c r="AR5" s="14">
        <f>AR4/AQ4-1</f>
        <v>-0.4602409638554217</v>
      </c>
      <c r="AS5" s="14">
        <f>AS4/AR4-1</f>
        <v>-0.06696428571428581</v>
      </c>
    </row>
    <row r="6" spans="1:45" ht="12.75">
      <c r="A6" s="18" t="s">
        <v>138</v>
      </c>
      <c r="B6" s="23" t="s">
        <v>139</v>
      </c>
      <c r="C6" s="23" t="s">
        <v>139</v>
      </c>
      <c r="D6" s="23" t="s">
        <v>139</v>
      </c>
      <c r="E6" s="21">
        <v>42.487</v>
      </c>
      <c r="F6" s="23" t="s">
        <v>139</v>
      </c>
      <c r="G6" s="23" t="s">
        <v>139</v>
      </c>
      <c r="H6" s="23" t="s">
        <v>139</v>
      </c>
      <c r="I6" s="21">
        <v>17.421</v>
      </c>
      <c r="J6" s="23" t="s">
        <v>139</v>
      </c>
      <c r="K6" s="23" t="s">
        <v>139</v>
      </c>
      <c r="L6" s="23" t="s">
        <v>139</v>
      </c>
      <c r="M6" s="23">
        <v>14.697</v>
      </c>
      <c r="N6" s="23" t="s">
        <v>139</v>
      </c>
      <c r="O6" s="23" t="s">
        <v>139</v>
      </c>
      <c r="P6" s="23"/>
      <c r="Q6" s="23">
        <v>0.8</v>
      </c>
      <c r="R6" s="23" t="s">
        <v>139</v>
      </c>
      <c r="S6" s="23" t="s">
        <v>139</v>
      </c>
      <c r="T6" s="23" t="s">
        <v>139</v>
      </c>
      <c r="U6" s="23">
        <v>0.072</v>
      </c>
      <c r="V6" s="23" t="s">
        <v>139</v>
      </c>
      <c r="W6" s="23" t="s">
        <v>139</v>
      </c>
      <c r="X6" s="23" t="s">
        <v>139</v>
      </c>
      <c r="Y6" s="23">
        <v>0.057</v>
      </c>
      <c r="Z6" s="23" t="s">
        <v>139</v>
      </c>
      <c r="AA6" s="23" t="s">
        <v>139</v>
      </c>
      <c r="AB6" s="23" t="s">
        <v>139</v>
      </c>
      <c r="AC6" s="23">
        <v>0.052</v>
      </c>
      <c r="AD6" s="23" t="s">
        <v>139</v>
      </c>
      <c r="AE6" s="23" t="s">
        <v>139</v>
      </c>
      <c r="AF6" s="23" t="s">
        <v>139</v>
      </c>
      <c r="AG6" s="23">
        <v>0.046</v>
      </c>
      <c r="AH6" s="23" t="s">
        <v>139</v>
      </c>
      <c r="AI6" s="23" t="s">
        <v>139</v>
      </c>
      <c r="AJ6" s="23"/>
      <c r="AK6" s="8">
        <v>17.094</v>
      </c>
      <c r="AL6" s="21">
        <v>42.487</v>
      </c>
      <c r="AM6" s="21">
        <v>17.421</v>
      </c>
      <c r="AN6" s="23">
        <v>14.697</v>
      </c>
      <c r="AO6" s="23">
        <f>Q6</f>
        <v>0.8</v>
      </c>
      <c r="AP6" s="23">
        <f>U6</f>
        <v>0.072</v>
      </c>
      <c r="AQ6" s="23">
        <f>Y6</f>
        <v>0.057</v>
      </c>
      <c r="AR6" s="23">
        <f>AC6</f>
        <v>0.052</v>
      </c>
      <c r="AS6" s="23">
        <f>AG6</f>
        <v>0.046</v>
      </c>
    </row>
    <row r="7" spans="1:45" s="15" customFormat="1" ht="12.75">
      <c r="A7" s="9" t="s">
        <v>137</v>
      </c>
      <c r="B7" s="10"/>
      <c r="C7" s="11"/>
      <c r="D7" s="11"/>
      <c r="E7" s="14"/>
      <c r="F7" s="11"/>
      <c r="G7" s="11"/>
      <c r="H7" s="11"/>
      <c r="I7" s="14"/>
      <c r="J7" s="13"/>
      <c r="K7" s="11"/>
      <c r="L7" s="12"/>
      <c r="M7" s="12"/>
      <c r="N7" s="13"/>
      <c r="O7" s="13"/>
      <c r="P7" s="13"/>
      <c r="Q7" s="13"/>
      <c r="R7" s="13"/>
      <c r="S7" s="13"/>
      <c r="T7" s="13"/>
      <c r="U7" s="13"/>
      <c r="V7" s="13"/>
      <c r="W7" s="13"/>
      <c r="X7" s="13"/>
      <c r="Y7" s="13"/>
      <c r="Z7" s="13"/>
      <c r="AA7" s="13"/>
      <c r="AB7" s="13"/>
      <c r="AC7" s="13"/>
      <c r="AD7" s="13"/>
      <c r="AE7" s="13"/>
      <c r="AF7" s="13"/>
      <c r="AG7" s="13"/>
      <c r="AH7" s="13"/>
      <c r="AI7" s="13"/>
      <c r="AJ7" s="13"/>
      <c r="AK7" s="10"/>
      <c r="AL7" s="14">
        <v>1.4854919854919855</v>
      </c>
      <c r="AM7" s="14">
        <v>-0.5899686963071058</v>
      </c>
      <c r="AN7" s="14">
        <v>-0.15636301016015153</v>
      </c>
      <c r="AO7" s="14">
        <f>AO6/AN6-1</f>
        <v>-0.9455671225420154</v>
      </c>
      <c r="AP7" s="14">
        <f>AP6/AO6-1</f>
        <v>-0.91</v>
      </c>
      <c r="AQ7" s="14">
        <f>AQ6/AP6-1</f>
        <v>-0.20833333333333326</v>
      </c>
      <c r="AR7" s="14">
        <f>AR6/AQ6-1</f>
        <v>-0.08771929824561409</v>
      </c>
      <c r="AS7" s="14">
        <f>AS6/AR6-1</f>
        <v>-0.11538461538461531</v>
      </c>
    </row>
    <row r="8" spans="1:45" ht="12.75">
      <c r="A8" s="18" t="s">
        <v>3</v>
      </c>
      <c r="B8" s="8">
        <v>9.935</v>
      </c>
      <c r="C8" s="29">
        <v>-2.766</v>
      </c>
      <c r="D8" s="29">
        <v>-11.349</v>
      </c>
      <c r="E8" s="29">
        <v>-174.713</v>
      </c>
      <c r="F8" s="29">
        <v>-17.58</v>
      </c>
      <c r="G8" s="29">
        <v>-11.464</v>
      </c>
      <c r="H8" s="29">
        <v>-5.622</v>
      </c>
      <c r="I8" s="29">
        <v>4.744</v>
      </c>
      <c r="J8" s="30">
        <v>11.163</v>
      </c>
      <c r="K8" s="29">
        <v>20.697</v>
      </c>
      <c r="L8" s="21">
        <v>25.827</v>
      </c>
      <c r="M8" s="21">
        <v>31.278</v>
      </c>
      <c r="N8" s="30">
        <v>1.757</v>
      </c>
      <c r="O8" s="30">
        <v>1.656</v>
      </c>
      <c r="P8" s="30">
        <v>1.68</v>
      </c>
      <c r="Q8" s="30">
        <v>1.41</v>
      </c>
      <c r="R8" s="51">
        <v>-0.139</v>
      </c>
      <c r="S8" s="51">
        <v>-0.294</v>
      </c>
      <c r="T8" s="51">
        <f>-0.598</f>
        <v>-0.598</v>
      </c>
      <c r="U8" s="51">
        <v>-0.914</v>
      </c>
      <c r="V8" s="51">
        <v>-0.334</v>
      </c>
      <c r="W8" s="51">
        <v>-0.575</v>
      </c>
      <c r="X8" s="51">
        <v>-0.78</v>
      </c>
      <c r="Y8" s="51">
        <v>-0.851</v>
      </c>
      <c r="Z8" s="51">
        <v>-0.459</v>
      </c>
      <c r="AA8" s="51">
        <v>-0.903</v>
      </c>
      <c r="AB8" s="51">
        <v>-1.064</v>
      </c>
      <c r="AC8" s="51">
        <v>-2.316</v>
      </c>
      <c r="AD8" s="51">
        <v>-0.381</v>
      </c>
      <c r="AE8" s="51">
        <v>-0.717</v>
      </c>
      <c r="AF8" s="51">
        <v>-1.353</v>
      </c>
      <c r="AG8" s="51">
        <v>-2.513</v>
      </c>
      <c r="AH8" s="51">
        <v>-0.817</v>
      </c>
      <c r="AI8" s="51">
        <v>-1.9</v>
      </c>
      <c r="AJ8" s="30"/>
      <c r="AK8" s="8">
        <v>32.44</v>
      </c>
      <c r="AL8" s="29">
        <v>-174.713</v>
      </c>
      <c r="AM8" s="29">
        <v>4.744</v>
      </c>
      <c r="AN8" s="21">
        <v>31.278</v>
      </c>
      <c r="AO8" s="21">
        <f>Q8</f>
        <v>1.41</v>
      </c>
      <c r="AP8" s="21">
        <f>U8</f>
        <v>-0.914</v>
      </c>
      <c r="AQ8" s="21">
        <f>Y8</f>
        <v>-0.851</v>
      </c>
      <c r="AR8" s="21">
        <f>AC8</f>
        <v>-2.316</v>
      </c>
      <c r="AS8" s="21">
        <f>AG8</f>
        <v>-2.513</v>
      </c>
    </row>
    <row r="9" spans="1:45" s="15" customFormat="1" ht="12.75">
      <c r="A9" s="9" t="s">
        <v>137</v>
      </c>
      <c r="B9" s="10"/>
      <c r="C9" s="11"/>
      <c r="D9" s="11"/>
      <c r="E9" s="14"/>
      <c r="F9" s="11"/>
      <c r="G9" s="11"/>
      <c r="H9" s="11"/>
      <c r="I9" s="14"/>
      <c r="J9" s="13"/>
      <c r="K9" s="11"/>
      <c r="L9" s="12"/>
      <c r="M9" s="12"/>
      <c r="N9" s="13"/>
      <c r="O9" s="13"/>
      <c r="P9" s="13"/>
      <c r="Q9" s="13"/>
      <c r="R9" s="13"/>
      <c r="S9" s="13"/>
      <c r="T9" s="13"/>
      <c r="U9" s="13"/>
      <c r="V9" s="13"/>
      <c r="W9" s="13"/>
      <c r="X9" s="13"/>
      <c r="Y9" s="13"/>
      <c r="Z9" s="13"/>
      <c r="AA9" s="13"/>
      <c r="AB9" s="13"/>
      <c r="AC9" s="13"/>
      <c r="AD9" s="13"/>
      <c r="AE9" s="13"/>
      <c r="AF9" s="13"/>
      <c r="AG9" s="13"/>
      <c r="AH9" s="13"/>
      <c r="AI9" s="13"/>
      <c r="AJ9" s="13"/>
      <c r="AK9" s="10"/>
      <c r="AL9" s="14">
        <v>-6.3857274969173865</v>
      </c>
      <c r="AM9" s="14">
        <v>-1.027153102516699</v>
      </c>
      <c r="AN9" s="14">
        <v>5.593170320404722</v>
      </c>
      <c r="AO9" s="14">
        <f>AO8/AN8-1</f>
        <v>-0.9549203913293689</v>
      </c>
      <c r="AP9" s="14">
        <f>AP8/AO8-1</f>
        <v>-1.6482269503546099</v>
      </c>
      <c r="AQ9" s="14">
        <f>AQ8/AP8-1</f>
        <v>-0.06892778993435456</v>
      </c>
      <c r="AR9" s="14">
        <f>AR8/AQ8-1</f>
        <v>1.7215041128084607</v>
      </c>
      <c r="AS9" s="14">
        <f>AS8/AR8-1</f>
        <v>0.08506044905008636</v>
      </c>
    </row>
    <row r="10" spans="1:45" ht="12.75">
      <c r="A10" s="32"/>
      <c r="B10" s="25"/>
      <c r="C10" s="25"/>
      <c r="D10" s="25"/>
      <c r="E10" s="25"/>
      <c r="F10" s="25"/>
      <c r="G10" s="25"/>
      <c r="H10" s="33"/>
      <c r="I10" s="33"/>
      <c r="J10" s="52"/>
      <c r="K10" s="25"/>
      <c r="L10" s="25"/>
      <c r="M10" s="25"/>
      <c r="N10" s="52"/>
      <c r="O10" s="52"/>
      <c r="P10" s="52"/>
      <c r="Q10" s="52"/>
      <c r="R10" s="52"/>
      <c r="S10" s="52"/>
      <c r="T10" s="52"/>
      <c r="U10" s="52"/>
      <c r="V10" s="52"/>
      <c r="W10" s="52"/>
      <c r="X10" s="52"/>
      <c r="Y10" s="52"/>
      <c r="Z10" s="52"/>
      <c r="AA10" s="52"/>
      <c r="AB10" s="52"/>
      <c r="AC10" s="52"/>
      <c r="AD10" s="52"/>
      <c r="AE10" s="52"/>
      <c r="AF10" s="52"/>
      <c r="AG10" s="52"/>
      <c r="AH10" s="52"/>
      <c r="AI10" s="52"/>
      <c r="AJ10" s="38"/>
      <c r="AK10" s="33"/>
      <c r="AL10" s="33"/>
      <c r="AM10" s="33"/>
      <c r="AN10" s="33"/>
      <c r="AO10" s="33"/>
      <c r="AP10" s="33"/>
      <c r="AQ10" s="33"/>
      <c r="AR10" s="33"/>
      <c r="AS10" s="33"/>
    </row>
    <row r="11" spans="1:45" s="36" customFormat="1" ht="12.75">
      <c r="A11" s="18"/>
      <c r="B11" s="27"/>
      <c r="C11" s="27"/>
      <c r="D11" s="27"/>
      <c r="E11" s="27"/>
      <c r="F11" s="27"/>
      <c r="G11" s="27"/>
      <c r="H11" s="28"/>
      <c r="I11" s="28"/>
      <c r="J11" s="45"/>
      <c r="K11" s="27"/>
      <c r="L11" s="19"/>
      <c r="M11" s="19"/>
      <c r="N11" s="45"/>
      <c r="O11" s="45"/>
      <c r="P11" s="45"/>
      <c r="Q11" s="45"/>
      <c r="R11" s="4"/>
      <c r="S11" s="4"/>
      <c r="T11" s="4"/>
      <c r="U11" s="4"/>
      <c r="V11" s="4"/>
      <c r="W11" s="4"/>
      <c r="X11" s="4"/>
      <c r="Y11" s="4"/>
      <c r="Z11" s="4"/>
      <c r="AA11" s="4"/>
      <c r="AB11" s="4"/>
      <c r="AC11" s="4"/>
      <c r="AD11" s="4"/>
      <c r="AE11" s="4"/>
      <c r="AF11" s="4"/>
      <c r="AG11" s="4"/>
      <c r="AH11" s="4"/>
      <c r="AI11" s="4"/>
      <c r="AJ11" s="45"/>
      <c r="AK11" s="19"/>
      <c r="AL11" s="19"/>
      <c r="AM11" s="19"/>
      <c r="AN11" s="19"/>
      <c r="AO11" s="19"/>
      <c r="AP11" s="19"/>
      <c r="AQ11" s="19"/>
      <c r="AR11" s="19"/>
      <c r="AS11" s="19"/>
    </row>
    <row r="12" spans="1:45" s="36" customFormat="1" ht="12.75">
      <c r="A12" s="2" t="s">
        <v>132</v>
      </c>
      <c r="B12" s="3" t="s">
        <v>6</v>
      </c>
      <c r="C12" s="4" t="s">
        <v>20</v>
      </c>
      <c r="D12" s="4" t="s">
        <v>21</v>
      </c>
      <c r="E12" s="4" t="s">
        <v>22</v>
      </c>
      <c r="F12" s="3" t="s">
        <v>0</v>
      </c>
      <c r="G12" s="3" t="s">
        <v>19</v>
      </c>
      <c r="H12" s="4" t="s">
        <v>18</v>
      </c>
      <c r="I12" s="4" t="s">
        <v>136</v>
      </c>
      <c r="J12" s="5" t="s">
        <v>160</v>
      </c>
      <c r="K12" s="3" t="s">
        <v>163</v>
      </c>
      <c r="L12" s="3" t="s">
        <v>164</v>
      </c>
      <c r="M12" s="3" t="s">
        <v>167</v>
      </c>
      <c r="N12" s="4" t="s">
        <v>172</v>
      </c>
      <c r="O12" s="4" t="s">
        <v>181</v>
      </c>
      <c r="P12" s="4" t="s">
        <v>183</v>
      </c>
      <c r="Q12" s="4" t="s">
        <v>185</v>
      </c>
      <c r="R12" s="4" t="s">
        <v>187</v>
      </c>
      <c r="S12" s="4" t="s">
        <v>202</v>
      </c>
      <c r="T12" s="4" t="s">
        <v>205</v>
      </c>
      <c r="U12" s="4" t="s">
        <v>206</v>
      </c>
      <c r="V12" s="4" t="s">
        <v>210</v>
      </c>
      <c r="W12" s="4" t="s">
        <v>211</v>
      </c>
      <c r="X12" s="4" t="s">
        <v>213</v>
      </c>
      <c r="Y12" s="4" t="s">
        <v>218</v>
      </c>
      <c r="Z12" s="4" t="s">
        <v>225</v>
      </c>
      <c r="AA12" s="4" t="s">
        <v>231</v>
      </c>
      <c r="AB12" s="4" t="s">
        <v>241</v>
      </c>
      <c r="AC12" s="4" t="s">
        <v>244</v>
      </c>
      <c r="AD12" s="4" t="s">
        <v>245</v>
      </c>
      <c r="AE12" s="4" t="s">
        <v>247</v>
      </c>
      <c r="AF12" s="4" t="s">
        <v>252</v>
      </c>
      <c r="AG12" s="4" t="s">
        <v>259</v>
      </c>
      <c r="AH12" s="4" t="s">
        <v>266</v>
      </c>
      <c r="AI12" s="4" t="s">
        <v>269</v>
      </c>
      <c r="AJ12" s="6"/>
      <c r="AK12" s="4">
        <v>2005</v>
      </c>
      <c r="AL12" s="4">
        <v>2006</v>
      </c>
      <c r="AM12" s="4">
        <v>2007</v>
      </c>
      <c r="AN12" s="4">
        <v>2008</v>
      </c>
      <c r="AO12" s="4">
        <v>2009</v>
      </c>
      <c r="AP12" s="4">
        <v>2010</v>
      </c>
      <c r="AQ12" s="4">
        <v>2011</v>
      </c>
      <c r="AR12" s="4">
        <v>2012</v>
      </c>
      <c r="AS12" s="4">
        <v>2013</v>
      </c>
    </row>
    <row r="13" spans="1:45" ht="22.5">
      <c r="A13" s="37" t="s">
        <v>52</v>
      </c>
      <c r="B13" s="23" t="s">
        <v>139</v>
      </c>
      <c r="C13" s="23" t="s">
        <v>139</v>
      </c>
      <c r="D13" s="23" t="s">
        <v>139</v>
      </c>
      <c r="E13" s="8">
        <v>35.635</v>
      </c>
      <c r="F13" s="23" t="s">
        <v>139</v>
      </c>
      <c r="G13" s="23" t="s">
        <v>139</v>
      </c>
      <c r="H13" s="23" t="s">
        <v>139</v>
      </c>
      <c r="I13" s="8">
        <v>17.965</v>
      </c>
      <c r="J13" s="23" t="s">
        <v>139</v>
      </c>
      <c r="K13" s="23" t="s">
        <v>139</v>
      </c>
      <c r="L13" s="23" t="s">
        <v>139</v>
      </c>
      <c r="M13" s="23">
        <v>35.12</v>
      </c>
      <c r="N13" s="23" t="s">
        <v>139</v>
      </c>
      <c r="O13" s="23" t="s">
        <v>139</v>
      </c>
      <c r="P13" s="23"/>
      <c r="Q13" s="23">
        <v>0.05</v>
      </c>
      <c r="R13" s="23" t="s">
        <v>139</v>
      </c>
      <c r="S13" s="23" t="s">
        <v>139</v>
      </c>
      <c r="T13" s="23" t="s">
        <v>139</v>
      </c>
      <c r="U13" s="23">
        <v>3.465</v>
      </c>
      <c r="V13" s="23" t="s">
        <v>139</v>
      </c>
      <c r="W13" s="23" t="s">
        <v>139</v>
      </c>
      <c r="X13" s="23" t="s">
        <v>139</v>
      </c>
      <c r="Y13" s="23">
        <v>3.474</v>
      </c>
      <c r="Z13" s="23" t="s">
        <v>139</v>
      </c>
      <c r="AA13" s="23" t="s">
        <v>139</v>
      </c>
      <c r="AB13" s="23" t="s">
        <v>139</v>
      </c>
      <c r="AC13" s="23">
        <v>2.38</v>
      </c>
      <c r="AD13" s="23" t="s">
        <v>139</v>
      </c>
      <c r="AE13" s="23" t="s">
        <v>139</v>
      </c>
      <c r="AF13" s="23" t="s">
        <v>139</v>
      </c>
      <c r="AG13" s="23">
        <v>10.877</v>
      </c>
      <c r="AH13" s="23" t="s">
        <v>139</v>
      </c>
      <c r="AI13" s="23" t="s">
        <v>139</v>
      </c>
      <c r="AJ13" s="23"/>
      <c r="AK13" s="8">
        <v>12.769</v>
      </c>
      <c r="AL13" s="8">
        <v>35.635</v>
      </c>
      <c r="AM13" s="8">
        <v>17.965</v>
      </c>
      <c r="AN13" s="8">
        <v>35.12</v>
      </c>
      <c r="AO13" s="8">
        <f>Q13</f>
        <v>0.05</v>
      </c>
      <c r="AP13" s="8">
        <f>U13</f>
        <v>3.465</v>
      </c>
      <c r="AQ13" s="8">
        <f>Y13</f>
        <v>3.474</v>
      </c>
      <c r="AR13" s="8">
        <f>AC13</f>
        <v>2.38</v>
      </c>
      <c r="AS13" s="8">
        <f>AG13</f>
        <v>10.877</v>
      </c>
    </row>
    <row r="14" spans="1:45" s="43" customFormat="1" ht="12.75">
      <c r="A14" s="9" t="s">
        <v>137</v>
      </c>
      <c r="B14" s="39"/>
      <c r="C14" s="40"/>
      <c r="D14" s="40"/>
      <c r="E14" s="40"/>
      <c r="F14" s="40"/>
      <c r="G14" s="40"/>
      <c r="H14" s="41"/>
      <c r="I14" s="41"/>
      <c r="J14" s="13"/>
      <c r="K14" s="40"/>
      <c r="L14" s="41"/>
      <c r="M14" s="41"/>
      <c r="N14" s="13"/>
      <c r="O14" s="13"/>
      <c r="P14" s="13"/>
      <c r="Q14" s="13"/>
      <c r="R14" s="13"/>
      <c r="S14" s="13"/>
      <c r="T14" s="13"/>
      <c r="U14" s="13"/>
      <c r="V14" s="13"/>
      <c r="W14" s="13"/>
      <c r="X14" s="13"/>
      <c r="Y14" s="13"/>
      <c r="Z14" s="13"/>
      <c r="AA14" s="13"/>
      <c r="AB14" s="13"/>
      <c r="AC14" s="13"/>
      <c r="AD14" s="13"/>
      <c r="AE14" s="13"/>
      <c r="AF14" s="13"/>
      <c r="AG14" s="13"/>
      <c r="AH14" s="13"/>
      <c r="AI14" s="13"/>
      <c r="AJ14" s="13"/>
      <c r="AK14" s="42"/>
      <c r="AL14" s="14">
        <v>1.7907432062025217</v>
      </c>
      <c r="AM14" s="14">
        <v>-0.4958608110004209</v>
      </c>
      <c r="AN14" s="14">
        <v>0.9549123295296409</v>
      </c>
      <c r="AO14" s="14">
        <f>AO13/AN13-1</f>
        <v>-0.9985763097949886</v>
      </c>
      <c r="AP14" s="14">
        <f>AP13/AO13-1</f>
        <v>68.3</v>
      </c>
      <c r="AQ14" s="14">
        <f>AQ13/AP13-1</f>
        <v>0.0025974025974027093</v>
      </c>
      <c r="AR14" s="14">
        <f>AR13/AQ13-1</f>
        <v>-0.31491076568796783</v>
      </c>
      <c r="AS14" s="14">
        <f>AS13/AR13-1</f>
        <v>3.5701680672268914</v>
      </c>
    </row>
    <row r="15" spans="1:40" ht="12.75">
      <c r="A15" s="18"/>
      <c r="B15" s="21"/>
      <c r="C15" s="21"/>
      <c r="D15" s="21"/>
      <c r="E15" s="21"/>
      <c r="F15" s="21"/>
      <c r="G15" s="21"/>
      <c r="H15" s="21"/>
      <c r="I15" s="21"/>
      <c r="J15" s="23"/>
      <c r="K15" s="21"/>
      <c r="L15" s="21"/>
      <c r="M15" s="21"/>
      <c r="N15" s="23"/>
      <c r="O15" s="23"/>
      <c r="P15" s="23"/>
      <c r="Q15" s="23"/>
      <c r="R15" s="23"/>
      <c r="S15" s="23"/>
      <c r="T15" s="23"/>
      <c r="U15" s="23"/>
      <c r="V15" s="23"/>
      <c r="W15" s="23"/>
      <c r="X15" s="23"/>
      <c r="Y15" s="23"/>
      <c r="Z15" s="23"/>
      <c r="AA15" s="23"/>
      <c r="AB15" s="23"/>
      <c r="AC15" s="23"/>
      <c r="AD15" s="23"/>
      <c r="AE15" s="23"/>
      <c r="AF15" s="23"/>
      <c r="AG15" s="23"/>
      <c r="AH15" s="23"/>
      <c r="AI15" s="23"/>
      <c r="AJ15" s="23"/>
      <c r="AK15" s="21"/>
      <c r="AL15" s="21"/>
      <c r="AM15" s="21"/>
      <c r="AN15" s="21"/>
    </row>
    <row r="16" ht="12.75">
      <c r="A16" s="53"/>
    </row>
  </sheetData>
  <sheetProtection/>
  <printOptions/>
  <pageMargins left="0.7" right="0.7" top="0.75" bottom="0.75" header="0.3" footer="0.3"/>
  <pageSetup fitToHeight="1" fitToWidth="1" horizontalDpi="600" verticalDpi="600" orientation="landscape" paperSize="9" scale="65" r:id="rId1"/>
  <ignoredErrors>
    <ignoredError sqref="AO5 AP5:AP8 AO7 AO6 AO8 AQ5:AQ7"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AS159"/>
  <sheetViews>
    <sheetView showGridLines="0" view="pageBreakPreview" zoomScale="85" zoomScaleNormal="70" zoomScaleSheetLayoutView="85" zoomScalePageLayoutView="0" workbookViewId="0" topLeftCell="A1">
      <pane xSplit="1" ySplit="1" topLeftCell="M2" activePane="bottomRight" state="frozen"/>
      <selection pane="topLeft" activeCell="A1" sqref="A1"/>
      <selection pane="topRight" activeCell="B1" sqref="B1"/>
      <selection pane="bottomLeft" activeCell="A2" sqref="A2"/>
      <selection pane="bottomRight" activeCell="AI58" sqref="AI58"/>
    </sheetView>
  </sheetViews>
  <sheetFormatPr defaultColWidth="9.140625" defaultRowHeight="12.75" outlineLevelCol="1"/>
  <cols>
    <col min="1" max="1" width="49.421875" style="88" customWidth="1"/>
    <col min="2" max="12" width="8.8515625" style="66" hidden="1" customWidth="1" outlineLevel="1"/>
    <col min="13" max="13" width="8.8515625" style="66" customWidth="1" collapsed="1"/>
    <col min="14" max="15" width="8.8515625" style="66" hidden="1" customWidth="1" outlineLevel="1"/>
    <col min="16" max="16" width="8.7109375" style="66" hidden="1" customWidth="1" outlineLevel="1"/>
    <col min="17" max="17" width="8.7109375" style="66" customWidth="1" collapsed="1"/>
    <col min="18" max="20" width="8.7109375" style="66" hidden="1" customWidth="1" outlineLevel="1"/>
    <col min="21" max="21" width="8.7109375" style="66" customWidth="1" collapsed="1"/>
    <col min="22" max="24" width="8.7109375" style="66" hidden="1" customWidth="1" outlineLevel="1"/>
    <col min="25" max="25" width="8.7109375" style="66" customWidth="1" collapsed="1"/>
    <col min="26" max="35" width="8.7109375" style="66" customWidth="1"/>
    <col min="36" max="36" width="5.140625" style="66" customWidth="1"/>
    <col min="37" max="40" width="8.8515625" style="66" customWidth="1"/>
    <col min="41" max="41" width="9.140625" style="1" customWidth="1"/>
    <col min="42" max="45" width="8.7109375" style="66" customWidth="1"/>
    <col min="46" max="16384" width="9.140625" style="1" customWidth="1"/>
  </cols>
  <sheetData>
    <row r="1" spans="1:45" ht="13.5" thickBot="1">
      <c r="A1" s="54" t="s">
        <v>146</v>
      </c>
      <c r="B1" s="55" t="s">
        <v>6</v>
      </c>
      <c r="C1" s="55" t="s">
        <v>20</v>
      </c>
      <c r="D1" s="55" t="s">
        <v>21</v>
      </c>
      <c r="E1" s="55" t="s">
        <v>22</v>
      </c>
      <c r="F1" s="55" t="s">
        <v>0</v>
      </c>
      <c r="G1" s="55" t="s">
        <v>19</v>
      </c>
      <c r="H1" s="55" t="s">
        <v>18</v>
      </c>
      <c r="I1" s="55" t="s">
        <v>136</v>
      </c>
      <c r="J1" s="56" t="s">
        <v>160</v>
      </c>
      <c r="K1" s="56" t="s">
        <v>163</v>
      </c>
      <c r="L1" s="56" t="s">
        <v>164</v>
      </c>
      <c r="M1" s="55" t="s">
        <v>165</v>
      </c>
      <c r="N1" s="55" t="s">
        <v>172</v>
      </c>
      <c r="O1" s="56" t="s">
        <v>181</v>
      </c>
      <c r="P1" s="56" t="s">
        <v>183</v>
      </c>
      <c r="Q1" s="56" t="s">
        <v>184</v>
      </c>
      <c r="R1" s="56" t="s">
        <v>188</v>
      </c>
      <c r="S1" s="56" t="s">
        <v>201</v>
      </c>
      <c r="T1" s="56" t="s">
        <v>204</v>
      </c>
      <c r="U1" s="56" t="s">
        <v>207</v>
      </c>
      <c r="V1" s="56" t="s">
        <v>210</v>
      </c>
      <c r="W1" s="56" t="s">
        <v>212</v>
      </c>
      <c r="X1" s="56" t="s">
        <v>214</v>
      </c>
      <c r="Y1" s="56" t="s">
        <v>217</v>
      </c>
      <c r="Z1" s="56" t="s">
        <v>225</v>
      </c>
      <c r="AA1" s="56" t="s">
        <v>230</v>
      </c>
      <c r="AB1" s="56" t="s">
        <v>240</v>
      </c>
      <c r="AC1" s="56" t="s">
        <v>242</v>
      </c>
      <c r="AD1" s="56" t="s">
        <v>245</v>
      </c>
      <c r="AE1" s="96" t="s">
        <v>247</v>
      </c>
      <c r="AF1" s="56" t="s">
        <v>251</v>
      </c>
      <c r="AG1" s="56" t="s">
        <v>258</v>
      </c>
      <c r="AH1" s="56" t="s">
        <v>266</v>
      </c>
      <c r="AI1" s="96" t="s">
        <v>269</v>
      </c>
      <c r="AJ1" s="56"/>
      <c r="AK1" s="55">
        <v>2005</v>
      </c>
      <c r="AL1" s="55">
        <v>2006</v>
      </c>
      <c r="AM1" s="55">
        <v>2007</v>
      </c>
      <c r="AN1" s="55">
        <v>2008</v>
      </c>
      <c r="AO1" s="55">
        <v>2009</v>
      </c>
      <c r="AP1" s="56">
        <v>2010</v>
      </c>
      <c r="AQ1" s="56">
        <v>2011</v>
      </c>
      <c r="AR1" s="56">
        <v>2012</v>
      </c>
      <c r="AS1" s="56">
        <v>2013</v>
      </c>
    </row>
    <row r="2" spans="1:45" s="48" customFormat="1" ht="12.75">
      <c r="A2" s="57"/>
      <c r="B2" s="57"/>
      <c r="C2" s="57"/>
      <c r="D2" s="57"/>
      <c r="E2" s="57"/>
      <c r="F2" s="57"/>
      <c r="G2" s="57"/>
      <c r="H2" s="57"/>
      <c r="I2" s="57"/>
      <c r="J2" s="57"/>
      <c r="K2" s="57"/>
      <c r="L2" s="58"/>
      <c r="M2" s="58"/>
      <c r="N2" s="58"/>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row>
    <row r="3" spans="1:45" ht="12" customHeight="1">
      <c r="A3" s="59" t="s">
        <v>71</v>
      </c>
      <c r="B3" s="60">
        <v>1086809</v>
      </c>
      <c r="C3" s="60">
        <v>2541985</v>
      </c>
      <c r="D3" s="60">
        <v>4284964</v>
      </c>
      <c r="E3" s="60">
        <v>6045625</v>
      </c>
      <c r="F3" s="60">
        <v>1750166</v>
      </c>
      <c r="G3" s="60">
        <v>3609079</v>
      </c>
      <c r="H3" s="60">
        <v>5545557</v>
      </c>
      <c r="I3" s="60">
        <v>7719061</v>
      </c>
      <c r="J3" s="60">
        <v>2353260</v>
      </c>
      <c r="K3" s="60">
        <v>5883616</v>
      </c>
      <c r="L3" s="60">
        <v>9639887</v>
      </c>
      <c r="M3" s="60">
        <v>11698661</v>
      </c>
      <c r="N3" s="60">
        <v>1293326</v>
      </c>
      <c r="O3" s="60">
        <v>2586261</v>
      </c>
      <c r="P3" s="60">
        <v>4325331</v>
      </c>
      <c r="Q3" s="60">
        <v>6139895</v>
      </c>
      <c r="R3" s="60">
        <v>1697442</v>
      </c>
      <c r="S3" s="60">
        <v>3853128</v>
      </c>
      <c r="T3" s="60">
        <v>6084636</v>
      </c>
      <c r="U3" s="60">
        <v>8350748</v>
      </c>
      <c r="V3" s="60">
        <v>2358878</v>
      </c>
      <c r="W3" s="60">
        <v>5341145</v>
      </c>
      <c r="X3" s="60">
        <v>8675117</v>
      </c>
      <c r="Y3" s="60">
        <v>11728556</v>
      </c>
      <c r="Z3" s="60">
        <v>3094341</v>
      </c>
      <c r="AA3" s="60">
        <v>6351484</v>
      </c>
      <c r="AB3" s="60">
        <v>9353666</v>
      </c>
      <c r="AC3" s="60">
        <v>12156592</v>
      </c>
      <c r="AD3" s="60">
        <v>2855822</v>
      </c>
      <c r="AE3" s="60">
        <v>5685024</v>
      </c>
      <c r="AF3" s="60">
        <v>8404675</v>
      </c>
      <c r="AG3" s="60">
        <v>10909442</v>
      </c>
      <c r="AH3" s="60">
        <v>2637829</v>
      </c>
      <c r="AI3" s="60">
        <v>5446019</v>
      </c>
      <c r="AJ3" s="60"/>
      <c r="AK3" s="60">
        <v>4375806</v>
      </c>
      <c r="AL3" s="60">
        <v>6045625</v>
      </c>
      <c r="AM3" s="60">
        <v>7719061</v>
      </c>
      <c r="AN3" s="60">
        <v>11698661</v>
      </c>
      <c r="AO3" s="60">
        <f>Q3</f>
        <v>6139895</v>
      </c>
      <c r="AP3" s="60">
        <f>U3</f>
        <v>8350748</v>
      </c>
      <c r="AQ3" s="60">
        <f>Y3</f>
        <v>11728556</v>
      </c>
      <c r="AR3" s="60">
        <f>AC3</f>
        <v>12156592</v>
      </c>
      <c r="AS3" s="60">
        <f>AG3</f>
        <v>10909442</v>
      </c>
    </row>
    <row r="4" spans="1:45" ht="5.25" customHeight="1">
      <c r="A4" s="6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row>
    <row r="5" spans="1:45" ht="12.75">
      <c r="A5" s="63" t="s">
        <v>72</v>
      </c>
      <c r="B5" s="64">
        <v>-574969</v>
      </c>
      <c r="C5" s="64">
        <v>-1236662</v>
      </c>
      <c r="D5" s="64">
        <v>-1988160</v>
      </c>
      <c r="E5" s="64">
        <v>-2716434</v>
      </c>
      <c r="F5" s="64">
        <v>-830451</v>
      </c>
      <c r="G5" s="64">
        <v>-1663079</v>
      </c>
      <c r="H5" s="64">
        <v>-2525207</v>
      </c>
      <c r="I5" s="64">
        <v>-3569331</v>
      </c>
      <c r="J5" s="64">
        <v>-1194925</v>
      </c>
      <c r="K5" s="64">
        <v>-2988536</v>
      </c>
      <c r="L5" s="65">
        <v>-4507769</v>
      </c>
      <c r="M5" s="65">
        <v>-5808780</v>
      </c>
      <c r="N5" s="65">
        <v>-874389</v>
      </c>
      <c r="O5" s="64">
        <v>-1669866</v>
      </c>
      <c r="P5" s="64">
        <v>-2672718</v>
      </c>
      <c r="Q5" s="64">
        <v>-3672245</v>
      </c>
      <c r="R5" s="64">
        <v>-1050443</v>
      </c>
      <c r="S5" s="64">
        <v>-2196645</v>
      </c>
      <c r="T5" s="64">
        <v>-3457088</v>
      </c>
      <c r="U5" s="64">
        <v>-4933236</v>
      </c>
      <c r="V5" s="64">
        <v>-1465767</v>
      </c>
      <c r="W5" s="64">
        <v>-3250461</v>
      </c>
      <c r="X5" s="64">
        <v>-5617718</v>
      </c>
      <c r="Y5" s="64">
        <v>-7780243</v>
      </c>
      <c r="Z5" s="64">
        <v>-2209677</v>
      </c>
      <c r="AA5" s="64">
        <v>-4414759</v>
      </c>
      <c r="AB5" s="64">
        <v>-6510018</v>
      </c>
      <c r="AC5" s="64">
        <v>-8494438</v>
      </c>
      <c r="AD5" s="64">
        <v>-2124755</v>
      </c>
      <c r="AE5" s="64">
        <v>-4182578</v>
      </c>
      <c r="AF5" s="64">
        <v>-6175357</v>
      </c>
      <c r="AG5" s="64">
        <v>-7928521</v>
      </c>
      <c r="AH5" s="64">
        <v>-1824844</v>
      </c>
      <c r="AI5" s="64">
        <v>-3694085</v>
      </c>
      <c r="AJ5" s="64"/>
      <c r="AK5" s="64">
        <v>-2048828</v>
      </c>
      <c r="AL5" s="64">
        <v>-2716434</v>
      </c>
      <c r="AM5" s="64">
        <v>-3569331</v>
      </c>
      <c r="AN5" s="64">
        <v>-5808780</v>
      </c>
      <c r="AO5" s="64">
        <f>Q5</f>
        <v>-3672245</v>
      </c>
      <c r="AP5" s="64">
        <f>U5</f>
        <v>-4933236</v>
      </c>
      <c r="AQ5" s="64">
        <f>Y5</f>
        <v>-7780243</v>
      </c>
      <c r="AR5" s="64">
        <f>AC5</f>
        <v>-8494438</v>
      </c>
      <c r="AS5" s="64">
        <f>AG5</f>
        <v>-7928521</v>
      </c>
    </row>
    <row r="6" spans="1:45" s="50" customFormat="1" ht="12.75">
      <c r="A6" s="63" t="s">
        <v>34</v>
      </c>
      <c r="B6" s="64">
        <v>-73701</v>
      </c>
      <c r="C6" s="64">
        <v>-158305</v>
      </c>
      <c r="D6" s="64">
        <v>-250018</v>
      </c>
      <c r="E6" s="64">
        <v>-357941</v>
      </c>
      <c r="F6" s="64">
        <v>-102342</v>
      </c>
      <c r="G6" s="64">
        <v>-197752</v>
      </c>
      <c r="H6" s="64">
        <v>-297161</v>
      </c>
      <c r="I6" s="64">
        <v>-407699</v>
      </c>
      <c r="J6" s="64">
        <v>-119354</v>
      </c>
      <c r="K6" s="64">
        <v>-245884</v>
      </c>
      <c r="L6" s="65">
        <v>-379690</v>
      </c>
      <c r="M6" s="65">
        <v>-498994</v>
      </c>
      <c r="N6" s="65">
        <v>-96625</v>
      </c>
      <c r="O6" s="64">
        <v>-222745</v>
      </c>
      <c r="P6" s="64">
        <v>-348684</v>
      </c>
      <c r="Q6" s="64">
        <v>-478117</v>
      </c>
      <c r="R6" s="64">
        <v>-122995</v>
      </c>
      <c r="S6" s="64">
        <v>-245892</v>
      </c>
      <c r="T6" s="64">
        <v>-357160</v>
      </c>
      <c r="U6" s="64">
        <v>-469418</v>
      </c>
      <c r="V6" s="64">
        <v>-124044</v>
      </c>
      <c r="W6" s="64">
        <v>-258638</v>
      </c>
      <c r="X6" s="64">
        <v>-459988</v>
      </c>
      <c r="Y6" s="64">
        <v>-588707</v>
      </c>
      <c r="Z6" s="64">
        <v>-177090</v>
      </c>
      <c r="AA6" s="64">
        <v>-348024</v>
      </c>
      <c r="AB6" s="64">
        <v>-569121</v>
      </c>
      <c r="AC6" s="64">
        <v>-767715</v>
      </c>
      <c r="AD6" s="64">
        <v>-207249</v>
      </c>
      <c r="AE6" s="64">
        <v>-426928</v>
      </c>
      <c r="AF6" s="64">
        <v>-656430</v>
      </c>
      <c r="AG6" s="64">
        <v>-861516</v>
      </c>
      <c r="AH6" s="64">
        <v>-199214</v>
      </c>
      <c r="AI6" s="64">
        <v>-411425</v>
      </c>
      <c r="AJ6" s="64"/>
      <c r="AK6" s="64">
        <v>-282876</v>
      </c>
      <c r="AL6" s="64">
        <v>-357941</v>
      </c>
      <c r="AM6" s="64">
        <v>-407699</v>
      </c>
      <c r="AN6" s="64">
        <v>-498994</v>
      </c>
      <c r="AO6" s="64">
        <f>Q6</f>
        <v>-478117</v>
      </c>
      <c r="AP6" s="64">
        <f>U6</f>
        <v>-469418</v>
      </c>
      <c r="AQ6" s="64">
        <f>Y6</f>
        <v>-588707</v>
      </c>
      <c r="AR6" s="64">
        <f>AC6</f>
        <v>-767715</v>
      </c>
      <c r="AS6" s="64">
        <f>AG6</f>
        <v>-861516</v>
      </c>
    </row>
    <row r="7" spans="1:45" s="50" customFormat="1" ht="5.25" customHeight="1">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row>
    <row r="8" spans="1:45" s="50" customFormat="1" ht="12.75">
      <c r="A8" s="59" t="s">
        <v>73</v>
      </c>
      <c r="B8" s="60">
        <v>438139</v>
      </c>
      <c r="C8" s="60">
        <v>1147018</v>
      </c>
      <c r="D8" s="60">
        <v>2046786</v>
      </c>
      <c r="E8" s="60">
        <v>2971250</v>
      </c>
      <c r="F8" s="60">
        <v>817373</v>
      </c>
      <c r="G8" s="60">
        <v>1748248</v>
      </c>
      <c r="H8" s="60">
        <v>2723189</v>
      </c>
      <c r="I8" s="60">
        <v>3742031</v>
      </c>
      <c r="J8" s="60">
        <v>1038981</v>
      </c>
      <c r="K8" s="60">
        <v>2649196</v>
      </c>
      <c r="L8" s="60">
        <v>4752428</v>
      </c>
      <c r="M8" s="60">
        <v>5390887</v>
      </c>
      <c r="N8" s="60">
        <v>322312</v>
      </c>
      <c r="O8" s="60">
        <v>693650</v>
      </c>
      <c r="P8" s="60">
        <v>1303929</v>
      </c>
      <c r="Q8" s="60">
        <v>1989533</v>
      </c>
      <c r="R8" s="60">
        <v>524004</v>
      </c>
      <c r="S8" s="60">
        <v>1410591</v>
      </c>
      <c r="T8" s="60">
        <v>2270388</v>
      </c>
      <c r="U8" s="60">
        <v>2948094</v>
      </c>
      <c r="V8" s="60">
        <v>769067</v>
      </c>
      <c r="W8" s="60">
        <v>1832046</v>
      </c>
      <c r="X8" s="60">
        <v>2597411</v>
      </c>
      <c r="Y8" s="60">
        <v>3359606</v>
      </c>
      <c r="Z8" s="60">
        <v>707574</v>
      </c>
      <c r="AA8" s="60">
        <v>1588701</v>
      </c>
      <c r="AB8" s="60">
        <v>2274527</v>
      </c>
      <c r="AC8" s="60">
        <v>2894439</v>
      </c>
      <c r="AD8" s="60">
        <v>523818</v>
      </c>
      <c r="AE8" s="60">
        <v>1075518</v>
      </c>
      <c r="AF8" s="60">
        <v>1572888</v>
      </c>
      <c r="AG8" s="60">
        <v>2119405</v>
      </c>
      <c r="AH8" s="60">
        <v>613771</v>
      </c>
      <c r="AI8" s="60">
        <v>1340509</v>
      </c>
      <c r="AJ8" s="60"/>
      <c r="AK8" s="60">
        <v>2044102</v>
      </c>
      <c r="AL8" s="60">
        <v>2971250</v>
      </c>
      <c r="AM8" s="60">
        <v>3742031</v>
      </c>
      <c r="AN8" s="60">
        <v>5390887</v>
      </c>
      <c r="AO8" s="60">
        <f>Q8</f>
        <v>1989533</v>
      </c>
      <c r="AP8" s="60">
        <f>U8</f>
        <v>2948094</v>
      </c>
      <c r="AQ8" s="60">
        <f>Y8</f>
        <v>3359606</v>
      </c>
      <c r="AR8" s="60">
        <f>AC8</f>
        <v>2894439</v>
      </c>
      <c r="AS8" s="60">
        <f>AG8</f>
        <v>2119405</v>
      </c>
    </row>
    <row r="9" spans="1:45" s="50" customFormat="1" ht="5.25" customHeight="1">
      <c r="A9" s="61"/>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row>
    <row r="10" spans="1:45" s="50" customFormat="1" ht="12.75">
      <c r="A10" s="61" t="s">
        <v>74</v>
      </c>
      <c r="B10" s="62"/>
      <c r="C10" s="62"/>
      <c r="D10" s="62"/>
      <c r="E10" s="62"/>
      <c r="F10" s="62"/>
      <c r="G10" s="62"/>
      <c r="H10" s="62"/>
      <c r="I10" s="62"/>
      <c r="J10" s="62"/>
      <c r="K10" s="62"/>
      <c r="L10" s="62"/>
      <c r="M10" s="62"/>
      <c r="N10" s="62"/>
      <c r="O10" s="62">
        <v>-489089</v>
      </c>
      <c r="P10" s="62">
        <v>-759383</v>
      </c>
      <c r="Q10" s="62">
        <v>-1097612</v>
      </c>
      <c r="R10" s="62">
        <v>-259544</v>
      </c>
      <c r="S10" s="62">
        <v>-519442</v>
      </c>
      <c r="T10" s="62">
        <v>-809950</v>
      </c>
      <c r="U10" s="62">
        <v>-1153504</v>
      </c>
      <c r="V10" s="62">
        <v>-305658</v>
      </c>
      <c r="W10" s="62">
        <v>-679530</v>
      </c>
      <c r="X10" s="62">
        <v>-1173939</v>
      </c>
      <c r="Y10" s="62">
        <v>-1693927</v>
      </c>
      <c r="Z10" s="62">
        <v>-452503</v>
      </c>
      <c r="AA10" s="62">
        <v>-908685</v>
      </c>
      <c r="AB10" s="62">
        <v>-1332715</v>
      </c>
      <c r="AC10" s="62">
        <v>-1761664</v>
      </c>
      <c r="AD10" s="62">
        <v>-412985</v>
      </c>
      <c r="AE10" s="62">
        <v>-784691</v>
      </c>
      <c r="AF10" s="62">
        <v>-1133049</v>
      </c>
      <c r="AG10" s="62">
        <v>-1475589</v>
      </c>
      <c r="AH10" s="62">
        <v>-344818</v>
      </c>
      <c r="AI10" s="62">
        <v>-689343</v>
      </c>
      <c r="AJ10" s="62"/>
      <c r="AK10" s="62"/>
      <c r="AL10" s="62"/>
      <c r="AM10" s="62"/>
      <c r="AN10" s="62"/>
      <c r="AO10" s="62">
        <f>Q10</f>
        <v>-1097612</v>
      </c>
      <c r="AP10" s="62">
        <f>U10</f>
        <v>-1153504</v>
      </c>
      <c r="AQ10" s="62">
        <f>Y10</f>
        <v>-1693927</v>
      </c>
      <c r="AR10" s="62">
        <f>AC10</f>
        <v>-1761664</v>
      </c>
      <c r="AS10" s="62">
        <f>AG10</f>
        <v>-1475589</v>
      </c>
    </row>
    <row r="11" spans="1:45" s="50" customFormat="1" ht="12.75">
      <c r="A11" s="63" t="s">
        <v>75</v>
      </c>
      <c r="B11" s="64">
        <v>-35177</v>
      </c>
      <c r="C11" s="64">
        <v>-85987</v>
      </c>
      <c r="D11" s="64">
        <v>-129312</v>
      </c>
      <c r="E11" s="64">
        <v>-188648</v>
      </c>
      <c r="F11" s="64">
        <v>-63191</v>
      </c>
      <c r="G11" s="64">
        <v>-106623</v>
      </c>
      <c r="H11" s="64">
        <v>-158550</v>
      </c>
      <c r="I11" s="64">
        <v>-214836</v>
      </c>
      <c r="J11" s="64">
        <v>-79923</v>
      </c>
      <c r="K11" s="64">
        <v>-171191</v>
      </c>
      <c r="L11" s="65">
        <v>-308521</v>
      </c>
      <c r="M11" s="65">
        <v>-366664</v>
      </c>
      <c r="N11" s="65">
        <v>-89810</v>
      </c>
      <c r="O11" s="64">
        <v>-165486</v>
      </c>
      <c r="P11" s="64">
        <v>-233276</v>
      </c>
      <c r="Q11" s="64">
        <v>-297246</v>
      </c>
      <c r="R11" s="64">
        <v>-66473</v>
      </c>
      <c r="S11" s="64">
        <v>-128343</v>
      </c>
      <c r="T11" s="64">
        <v>-202626</v>
      </c>
      <c r="U11" s="64">
        <v>-263146</v>
      </c>
      <c r="V11" s="64">
        <v>-85084</v>
      </c>
      <c r="W11" s="64">
        <v>-181094</v>
      </c>
      <c r="X11" s="64">
        <v>-365567</v>
      </c>
      <c r="Y11" s="64">
        <v>-556169</v>
      </c>
      <c r="Z11" s="64">
        <v>-136023</v>
      </c>
      <c r="AA11" s="64">
        <v>-236520</v>
      </c>
      <c r="AB11" s="64">
        <v>-335057</v>
      </c>
      <c r="AC11" s="64">
        <v>-448268</v>
      </c>
      <c r="AD11" s="64">
        <v>-119625</v>
      </c>
      <c r="AE11" s="64">
        <v>-231441</v>
      </c>
      <c r="AF11" s="64">
        <v>-339308</v>
      </c>
      <c r="AG11" s="64">
        <v>-424185</v>
      </c>
      <c r="AH11" s="64">
        <v>-92474</v>
      </c>
      <c r="AI11" s="64">
        <v>-176792</v>
      </c>
      <c r="AJ11" s="64"/>
      <c r="AK11" s="64">
        <v>-101351</v>
      </c>
      <c r="AL11" s="64">
        <v>-188648</v>
      </c>
      <c r="AM11" s="64">
        <v>-214836</v>
      </c>
      <c r="AN11" s="64">
        <v>-366664</v>
      </c>
      <c r="AO11" s="64">
        <f>Q11</f>
        <v>-297246</v>
      </c>
      <c r="AP11" s="64">
        <f>U11</f>
        <v>-263146</v>
      </c>
      <c r="AQ11" s="64">
        <f>Y11</f>
        <v>-556169</v>
      </c>
      <c r="AR11" s="64">
        <f>AC11</f>
        <v>-448268</v>
      </c>
      <c r="AS11" s="64">
        <f>AG11</f>
        <v>-424185</v>
      </c>
    </row>
    <row r="12" spans="1:45" ht="12.75">
      <c r="A12" s="63" t="s">
        <v>76</v>
      </c>
      <c r="B12" s="64">
        <v>-16155</v>
      </c>
      <c r="C12" s="64">
        <v>-117642</v>
      </c>
      <c r="D12" s="64">
        <v>-207735</v>
      </c>
      <c r="E12" s="64">
        <v>-325361</v>
      </c>
      <c r="F12" s="64">
        <v>-93699</v>
      </c>
      <c r="G12" s="64">
        <v>-211848</v>
      </c>
      <c r="H12" s="64">
        <v>-318006</v>
      </c>
      <c r="I12" s="64">
        <v>-442657</v>
      </c>
      <c r="J12" s="64">
        <v>-151416</v>
      </c>
      <c r="K12" s="64">
        <v>-343663</v>
      </c>
      <c r="L12" s="65">
        <v>-575130</v>
      </c>
      <c r="M12" s="65">
        <v>-734489</v>
      </c>
      <c r="N12" s="65">
        <v>-110849</v>
      </c>
      <c r="O12" s="64">
        <v>-274705</v>
      </c>
      <c r="P12" s="64">
        <v>-450344</v>
      </c>
      <c r="Q12" s="64">
        <v>-654628</v>
      </c>
      <c r="R12" s="64">
        <v>-161348</v>
      </c>
      <c r="S12" s="64">
        <v>-330492</v>
      </c>
      <c r="T12" s="64">
        <v>-517319</v>
      </c>
      <c r="U12" s="64">
        <v>-708868</v>
      </c>
      <c r="V12" s="64">
        <v>-186446</v>
      </c>
      <c r="W12" s="64">
        <v>-427248</v>
      </c>
      <c r="X12" s="64">
        <v>-690591</v>
      </c>
      <c r="Y12" s="64">
        <v>-972685</v>
      </c>
      <c r="Z12" s="64">
        <v>-280086</v>
      </c>
      <c r="AA12" s="64">
        <v>-591641</v>
      </c>
      <c r="AB12" s="64">
        <v>-870643</v>
      </c>
      <c r="AC12" s="64">
        <v>-1143610</v>
      </c>
      <c r="AD12" s="64">
        <v>-257166</v>
      </c>
      <c r="AE12" s="64">
        <v>-484356</v>
      </c>
      <c r="AF12" s="64">
        <v>-696447</v>
      </c>
      <c r="AG12" s="64">
        <v>-917270</v>
      </c>
      <c r="AH12" s="64">
        <v>-212106</v>
      </c>
      <c r="AI12" s="64">
        <v>-437389</v>
      </c>
      <c r="AJ12" s="64"/>
      <c r="AK12" s="64">
        <v>-62371</v>
      </c>
      <c r="AL12" s="64">
        <v>-325361</v>
      </c>
      <c r="AM12" s="64">
        <v>-442657</v>
      </c>
      <c r="AN12" s="64">
        <v>-734489</v>
      </c>
      <c r="AO12" s="64">
        <f>Q12</f>
        <v>-654628</v>
      </c>
      <c r="AP12" s="64">
        <f>U12</f>
        <v>-708868</v>
      </c>
      <c r="AQ12" s="64">
        <f>Y12</f>
        <v>-972685</v>
      </c>
      <c r="AR12" s="64">
        <f>AC12</f>
        <v>-1143610</v>
      </c>
      <c r="AS12" s="64">
        <f>AG12</f>
        <v>-917270</v>
      </c>
    </row>
    <row r="13" spans="1:45" ht="12.75">
      <c r="A13" s="63" t="s">
        <v>77</v>
      </c>
      <c r="B13" s="64">
        <v>-10398</v>
      </c>
      <c r="C13" s="64">
        <v>-21658</v>
      </c>
      <c r="D13" s="64">
        <v>-33694</v>
      </c>
      <c r="E13" s="64">
        <v>-57215</v>
      </c>
      <c r="F13" s="64">
        <v>-14318</v>
      </c>
      <c r="G13" s="64">
        <v>-39582</v>
      </c>
      <c r="H13" s="64">
        <v>-58997</v>
      </c>
      <c r="I13" s="64">
        <v>-79977</v>
      </c>
      <c r="J13" s="64">
        <v>-31230</v>
      </c>
      <c r="K13" s="64">
        <v>-64626</v>
      </c>
      <c r="L13" s="65">
        <v>-88348</v>
      </c>
      <c r="M13" s="65">
        <v>-100025</v>
      </c>
      <c r="N13" s="65">
        <v>-22562</v>
      </c>
      <c r="O13" s="64">
        <v>-48898</v>
      </c>
      <c r="P13" s="64">
        <v>-75763</v>
      </c>
      <c r="Q13" s="64">
        <v>-102076</v>
      </c>
      <c r="R13" s="64">
        <v>-31723</v>
      </c>
      <c r="S13" s="64">
        <v>-60607</v>
      </c>
      <c r="T13" s="64">
        <v>-90005</v>
      </c>
      <c r="U13" s="64">
        <v>-123311</v>
      </c>
      <c r="V13" s="64">
        <v>-34128</v>
      </c>
      <c r="W13" s="64">
        <v>-71188</v>
      </c>
      <c r="X13" s="64">
        <v>-117781</v>
      </c>
      <c r="Y13" s="64">
        <v>-165073</v>
      </c>
      <c r="Z13" s="64">
        <v>-36394</v>
      </c>
      <c r="AA13" s="64">
        <v>-80524</v>
      </c>
      <c r="AB13" s="64">
        <v>-127015</v>
      </c>
      <c r="AC13" s="64">
        <v>-169786</v>
      </c>
      <c r="AD13" s="64">
        <v>-36194</v>
      </c>
      <c r="AE13" s="64">
        <v>-68894</v>
      </c>
      <c r="AF13" s="64">
        <v>-97294</v>
      </c>
      <c r="AG13" s="64">
        <v>-134134</v>
      </c>
      <c r="AH13" s="64">
        <v>-40238</v>
      </c>
      <c r="AI13" s="64">
        <v>-75162</v>
      </c>
      <c r="AJ13" s="64"/>
      <c r="AK13" s="64">
        <v>-36356</v>
      </c>
      <c r="AL13" s="64">
        <v>-57215</v>
      </c>
      <c r="AM13" s="64">
        <v>-79977</v>
      </c>
      <c r="AN13" s="64">
        <v>-100025</v>
      </c>
      <c r="AO13" s="64">
        <f>Q13</f>
        <v>-102076</v>
      </c>
      <c r="AP13" s="64">
        <f>U13</f>
        <v>-123311</v>
      </c>
      <c r="AQ13" s="64">
        <f>Y13</f>
        <v>-165073</v>
      </c>
      <c r="AR13" s="64">
        <f>AC13</f>
        <v>-169786</v>
      </c>
      <c r="AS13" s="64">
        <f>AG13</f>
        <v>-134134</v>
      </c>
    </row>
    <row r="14" spans="1:45" ht="12.75">
      <c r="A14" s="63" t="s">
        <v>40</v>
      </c>
      <c r="B14" s="64"/>
      <c r="C14" s="64"/>
      <c r="D14" s="64"/>
      <c r="E14" s="64">
        <v>-136916</v>
      </c>
      <c r="F14" s="64"/>
      <c r="G14" s="64"/>
      <c r="H14" s="64"/>
      <c r="I14" s="64"/>
      <c r="J14" s="64"/>
      <c r="K14" s="64"/>
      <c r="L14" s="65"/>
      <c r="M14" s="65">
        <v>-128389</v>
      </c>
      <c r="N14" s="65"/>
      <c r="O14" s="64"/>
      <c r="P14" s="64"/>
      <c r="Q14" s="64">
        <v>-43662</v>
      </c>
      <c r="R14" s="64"/>
      <c r="S14" s="64"/>
      <c r="T14" s="64"/>
      <c r="U14" s="64">
        <v>-58179</v>
      </c>
      <c r="V14" s="64"/>
      <c r="W14" s="64"/>
      <c r="X14" s="64"/>
      <c r="Y14" s="64"/>
      <c r="Z14" s="64"/>
      <c r="AA14" s="64"/>
      <c r="AB14" s="64"/>
      <c r="AC14" s="64"/>
      <c r="AD14" s="64"/>
      <c r="AE14" s="64"/>
      <c r="AF14" s="64"/>
      <c r="AG14" s="64"/>
      <c r="AH14" s="64"/>
      <c r="AI14" s="64"/>
      <c r="AJ14" s="64"/>
      <c r="AK14" s="64"/>
      <c r="AL14" s="64">
        <v>-136916</v>
      </c>
      <c r="AM14" s="64"/>
      <c r="AN14" s="64">
        <v>-128389</v>
      </c>
      <c r="AO14" s="64">
        <f>Q14</f>
        <v>-43662</v>
      </c>
      <c r="AP14" s="64">
        <f>U14</f>
        <v>-58179</v>
      </c>
      <c r="AQ14" s="64"/>
      <c r="AR14" s="64"/>
      <c r="AS14" s="64"/>
    </row>
    <row r="15" spans="1:41" ht="12.75">
      <c r="A15" s="63" t="s">
        <v>41</v>
      </c>
      <c r="B15" s="64"/>
      <c r="C15" s="64"/>
      <c r="D15" s="64"/>
      <c r="E15" s="64">
        <v>-19765</v>
      </c>
      <c r="F15" s="64">
        <v>-6019</v>
      </c>
      <c r="G15" s="64">
        <v>-6070</v>
      </c>
      <c r="H15" s="64">
        <v>-6115</v>
      </c>
      <c r="I15" s="64">
        <v>-6190</v>
      </c>
      <c r="J15" s="64"/>
      <c r="K15" s="64"/>
      <c r="L15" s="65"/>
      <c r="M15" s="65"/>
      <c r="N15" s="65"/>
      <c r="O15" s="64"/>
      <c r="P15" s="64"/>
      <c r="AJ15" s="64"/>
      <c r="AK15" s="64"/>
      <c r="AL15" s="64">
        <v>-19765</v>
      </c>
      <c r="AM15" s="64">
        <v>-6190</v>
      </c>
      <c r="AN15" s="64"/>
      <c r="AO15" s="64"/>
    </row>
    <row r="16" spans="1:45" ht="5.25" customHeight="1">
      <c r="A16" s="67"/>
      <c r="B16" s="68"/>
      <c r="C16" s="68"/>
      <c r="D16" s="68"/>
      <c r="E16" s="68"/>
      <c r="F16" s="68"/>
      <c r="G16" s="68"/>
      <c r="H16" s="68"/>
      <c r="I16" s="68"/>
      <c r="J16" s="68"/>
      <c r="K16" s="68"/>
      <c r="L16" s="65"/>
      <c r="M16" s="65"/>
      <c r="N16" s="65"/>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row>
    <row r="17" spans="1:45" ht="12.75">
      <c r="A17" s="69" t="s">
        <v>3</v>
      </c>
      <c r="B17" s="70">
        <v>376409</v>
      </c>
      <c r="C17" s="70">
        <v>921731</v>
      </c>
      <c r="D17" s="70">
        <v>1676045</v>
      </c>
      <c r="E17" s="70">
        <v>2243345</v>
      </c>
      <c r="F17" s="70">
        <v>640146</v>
      </c>
      <c r="G17" s="70">
        <v>1384125</v>
      </c>
      <c r="H17" s="70">
        <v>2181521</v>
      </c>
      <c r="I17" s="70">
        <v>2998371</v>
      </c>
      <c r="J17" s="70">
        <v>776412</v>
      </c>
      <c r="K17" s="70">
        <v>2069716</v>
      </c>
      <c r="L17" s="60">
        <v>3780429</v>
      </c>
      <c r="M17" s="60">
        <v>4061320</v>
      </c>
      <c r="N17" s="60">
        <v>99091</v>
      </c>
      <c r="O17" s="70">
        <v>204561</v>
      </c>
      <c r="P17" s="70">
        <v>544546</v>
      </c>
      <c r="Q17" s="70">
        <v>891921</v>
      </c>
      <c r="R17" s="70">
        <v>264460</v>
      </c>
      <c r="S17" s="70">
        <v>891149</v>
      </c>
      <c r="T17" s="70">
        <v>1460438</v>
      </c>
      <c r="U17" s="70">
        <v>1794590</v>
      </c>
      <c r="V17" s="70">
        <v>463409</v>
      </c>
      <c r="W17" s="70">
        <v>1152516</v>
      </c>
      <c r="X17" s="70">
        <v>1423472</v>
      </c>
      <c r="Y17" s="70">
        <v>1665679</v>
      </c>
      <c r="Z17" s="70">
        <v>255071</v>
      </c>
      <c r="AA17" s="70">
        <v>680016</v>
      </c>
      <c r="AB17" s="70">
        <v>941812</v>
      </c>
      <c r="AC17" s="70">
        <v>1132775</v>
      </c>
      <c r="AD17" s="70">
        <v>110833</v>
      </c>
      <c r="AE17" s="70">
        <v>290827</v>
      </c>
      <c r="AF17" s="70">
        <v>439839</v>
      </c>
      <c r="AG17" s="70">
        <v>643816</v>
      </c>
      <c r="AH17" s="70">
        <v>268953</v>
      </c>
      <c r="AI17" s="70">
        <v>651166</v>
      </c>
      <c r="AJ17" s="70"/>
      <c r="AK17" s="70">
        <v>1844024</v>
      </c>
      <c r="AL17" s="70">
        <v>2243345</v>
      </c>
      <c r="AM17" s="70">
        <v>2998371</v>
      </c>
      <c r="AN17" s="70">
        <v>4061320</v>
      </c>
      <c r="AO17" s="70">
        <f>Q17</f>
        <v>891921</v>
      </c>
      <c r="AP17" s="70">
        <f>U17</f>
        <v>1794590</v>
      </c>
      <c r="AQ17" s="70">
        <f>Y17</f>
        <v>1665679</v>
      </c>
      <c r="AR17" s="70">
        <f>AC17</f>
        <v>1132775</v>
      </c>
      <c r="AS17" s="70">
        <f>AG17</f>
        <v>643816</v>
      </c>
    </row>
    <row r="18" spans="1:45" ht="12.75">
      <c r="A18" s="71"/>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row>
    <row r="19" spans="1:45" ht="5.25" customHeight="1">
      <c r="A19" s="61"/>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row>
    <row r="20" spans="1:45" ht="12.75">
      <c r="A20" s="61" t="s">
        <v>78</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row>
    <row r="21" spans="1:45" ht="12.75">
      <c r="A21" s="63" t="s">
        <v>35</v>
      </c>
      <c r="B21" s="64">
        <v>-1492</v>
      </c>
      <c r="C21" s="64">
        <v>-2719</v>
      </c>
      <c r="D21" s="64">
        <v>-4763</v>
      </c>
      <c r="E21" s="64">
        <v>-3582</v>
      </c>
      <c r="F21" s="64">
        <v>-12609</v>
      </c>
      <c r="G21" s="64">
        <v>-19791</v>
      </c>
      <c r="H21" s="64">
        <v>-24575</v>
      </c>
      <c r="I21" s="64">
        <v>-27285</v>
      </c>
      <c r="J21" s="64">
        <v>6097</v>
      </c>
      <c r="K21" s="64">
        <v>-580</v>
      </c>
      <c r="L21" s="65">
        <v>-18556</v>
      </c>
      <c r="M21" s="65">
        <v>-9594</v>
      </c>
      <c r="N21" s="65">
        <v>-2104</v>
      </c>
      <c r="O21" s="64">
        <v>-8059</v>
      </c>
      <c r="P21" s="64">
        <v>-13132</v>
      </c>
      <c r="Q21" s="64">
        <v>-4420</v>
      </c>
      <c r="R21" s="64">
        <v>-1927</v>
      </c>
      <c r="S21" s="64">
        <v>-13609</v>
      </c>
      <c r="T21" s="64">
        <v>-17919</v>
      </c>
      <c r="U21" s="64">
        <v>-9657</v>
      </c>
      <c r="V21" s="64">
        <v>-5867</v>
      </c>
      <c r="W21" s="64">
        <v>-22239</v>
      </c>
      <c r="X21" s="64">
        <v>-23234</v>
      </c>
      <c r="Y21" s="64">
        <v>-29293</v>
      </c>
      <c r="Z21" s="64">
        <v>-116</v>
      </c>
      <c r="AA21" s="64">
        <v>-37461</v>
      </c>
      <c r="AB21" s="64">
        <v>-37566</v>
      </c>
      <c r="AC21" s="64">
        <v>-38051</v>
      </c>
      <c r="AD21" s="64">
        <v>-1517</v>
      </c>
      <c r="AE21" s="64">
        <v>-5623</v>
      </c>
      <c r="AF21" s="64">
        <v>-16888</v>
      </c>
      <c r="AG21" s="64">
        <v>-22413</v>
      </c>
      <c r="AH21" s="64">
        <v>-477</v>
      </c>
      <c r="AI21" s="64">
        <v>-3794</v>
      </c>
      <c r="AJ21" s="64"/>
      <c r="AK21" s="64">
        <v>-11579</v>
      </c>
      <c r="AL21" s="64">
        <v>-3582</v>
      </c>
      <c r="AM21" s="64">
        <v>-27285</v>
      </c>
      <c r="AN21" s="64">
        <v>-9594</v>
      </c>
      <c r="AO21" s="64">
        <f>Q21</f>
        <v>-4420</v>
      </c>
      <c r="AP21" s="64">
        <f>U21</f>
        <v>-9657</v>
      </c>
      <c r="AQ21" s="64">
        <f>Y21</f>
        <v>-29293</v>
      </c>
      <c r="AR21" s="64">
        <f>AC21</f>
        <v>-38051</v>
      </c>
      <c r="AS21" s="64">
        <f>AG21</f>
        <v>-22413</v>
      </c>
    </row>
    <row r="22" spans="1:45" ht="12.75">
      <c r="A22" s="63" t="s">
        <v>79</v>
      </c>
      <c r="B22" s="64">
        <v>383759</v>
      </c>
      <c r="C22" s="64">
        <v>390463</v>
      </c>
      <c r="D22" s="64">
        <v>395341</v>
      </c>
      <c r="E22" s="64">
        <v>400696</v>
      </c>
      <c r="F22" s="64">
        <v>-1492</v>
      </c>
      <c r="G22" s="64">
        <v>-3442</v>
      </c>
      <c r="H22" s="64">
        <v>-3542</v>
      </c>
      <c r="I22" s="64">
        <v>-23522</v>
      </c>
      <c r="J22" s="64">
        <v>6421</v>
      </c>
      <c r="K22" s="64">
        <v>3948</v>
      </c>
      <c r="L22" s="65">
        <v>25243</v>
      </c>
      <c r="M22" s="65">
        <v>-21319</v>
      </c>
      <c r="N22" s="65">
        <v>-1472</v>
      </c>
      <c r="O22" s="64">
        <v>-1580</v>
      </c>
      <c r="P22" s="64">
        <v>-1862</v>
      </c>
      <c r="Q22" s="64">
        <v>-10903</v>
      </c>
      <c r="R22" s="64">
        <v>-1312</v>
      </c>
      <c r="S22" s="64">
        <v>-7888</v>
      </c>
      <c r="T22" s="64">
        <v>-10384</v>
      </c>
      <c r="U22" s="64">
        <v>-27991</v>
      </c>
      <c r="V22" s="64">
        <v>-3330</v>
      </c>
      <c r="W22" s="64">
        <v>-13288</v>
      </c>
      <c r="X22" s="64">
        <v>68981</v>
      </c>
      <c r="Y22" s="64">
        <v>11922</v>
      </c>
      <c r="Z22" s="64">
        <v>173</v>
      </c>
      <c r="AA22" s="64">
        <v>-946</v>
      </c>
      <c r="AB22" s="64">
        <v>-159</v>
      </c>
      <c r="AC22" s="64">
        <v>-2828</v>
      </c>
      <c r="AD22" s="64">
        <v>-735</v>
      </c>
      <c r="AE22" s="64">
        <v>-3535</v>
      </c>
      <c r="AF22" s="64">
        <v>22958</v>
      </c>
      <c r="AG22" s="64">
        <v>21124</v>
      </c>
      <c r="AH22" s="64">
        <v>-249</v>
      </c>
      <c r="AI22" s="64">
        <v>3655</v>
      </c>
      <c r="AJ22" s="64"/>
      <c r="AK22" s="64">
        <v>2771</v>
      </c>
      <c r="AL22" s="64">
        <v>400696</v>
      </c>
      <c r="AM22" s="64">
        <v>-23522</v>
      </c>
      <c r="AN22" s="64">
        <v>-21319</v>
      </c>
      <c r="AO22" s="64">
        <f>Q22</f>
        <v>-10903</v>
      </c>
      <c r="AP22" s="64">
        <f>U22</f>
        <v>-27991</v>
      </c>
      <c r="AQ22" s="64">
        <f>Y22</f>
        <v>11922</v>
      </c>
      <c r="AR22" s="64">
        <f>AC22</f>
        <v>-2828</v>
      </c>
      <c r="AS22" s="64">
        <f>AG22</f>
        <v>21124</v>
      </c>
    </row>
    <row r="23" spans="1:45" ht="12.75">
      <c r="A23" s="63" t="s">
        <v>80</v>
      </c>
      <c r="B23" s="64">
        <v>29300</v>
      </c>
      <c r="C23" s="64">
        <v>58672</v>
      </c>
      <c r="D23" s="64">
        <v>82711</v>
      </c>
      <c r="E23" s="64">
        <v>111789</v>
      </c>
      <c r="F23" s="64">
        <v>25029</v>
      </c>
      <c r="G23" s="64">
        <v>44778</v>
      </c>
      <c r="H23" s="64">
        <v>68241</v>
      </c>
      <c r="I23" s="64">
        <v>99751</v>
      </c>
      <c r="J23" s="64">
        <v>32578</v>
      </c>
      <c r="K23" s="64">
        <v>45369</v>
      </c>
      <c r="L23" s="65">
        <v>70047</v>
      </c>
      <c r="M23" s="65">
        <v>100238</v>
      </c>
      <c r="N23" s="65">
        <v>17897</v>
      </c>
      <c r="O23" s="64">
        <v>34637</v>
      </c>
      <c r="P23" s="64">
        <v>53092</v>
      </c>
      <c r="Q23" s="64">
        <v>59733</v>
      </c>
      <c r="R23" s="64">
        <v>11470</v>
      </c>
      <c r="S23" s="64">
        <v>21218</v>
      </c>
      <c r="T23" s="64">
        <v>34313</v>
      </c>
      <c r="U23" s="64">
        <v>45071</v>
      </c>
      <c r="V23" s="64">
        <v>9479</v>
      </c>
      <c r="W23" s="64">
        <v>18836</v>
      </c>
      <c r="X23" s="64">
        <v>19852</v>
      </c>
      <c r="Y23" s="64">
        <v>29531</v>
      </c>
      <c r="Z23" s="64">
        <v>6374</v>
      </c>
      <c r="AA23" s="64">
        <v>12350</v>
      </c>
      <c r="AB23" s="64">
        <v>18468</v>
      </c>
      <c r="AC23" s="64">
        <v>28581</v>
      </c>
      <c r="AD23" s="64">
        <v>10040</v>
      </c>
      <c r="AE23" s="64">
        <v>21964</v>
      </c>
      <c r="AF23" s="64">
        <v>32063</v>
      </c>
      <c r="AG23" s="64">
        <v>40241</v>
      </c>
      <c r="AH23" s="64">
        <v>6927</v>
      </c>
      <c r="AI23" s="64">
        <v>15585</v>
      </c>
      <c r="AJ23" s="64"/>
      <c r="AK23" s="64">
        <v>98708</v>
      </c>
      <c r="AL23" s="64">
        <v>111789</v>
      </c>
      <c r="AM23" s="64">
        <v>99751</v>
      </c>
      <c r="AN23" s="64">
        <v>100238</v>
      </c>
      <c r="AO23" s="64">
        <f>Q23</f>
        <v>59733</v>
      </c>
      <c r="AP23" s="64">
        <f>U23</f>
        <v>45071</v>
      </c>
      <c r="AQ23" s="64">
        <f>Y23</f>
        <v>29531</v>
      </c>
      <c r="AR23" s="64">
        <f>AC23</f>
        <v>28581</v>
      </c>
      <c r="AS23" s="64">
        <f>AG23</f>
        <v>40241</v>
      </c>
    </row>
    <row r="24" spans="1:45" ht="12.75">
      <c r="A24" s="63" t="s">
        <v>81</v>
      </c>
      <c r="B24" s="64">
        <v>-4541</v>
      </c>
      <c r="C24" s="64">
        <v>-10626</v>
      </c>
      <c r="D24" s="64">
        <v>-19379</v>
      </c>
      <c r="E24" s="64">
        <v>-29692</v>
      </c>
      <c r="F24" s="64">
        <v>-8404</v>
      </c>
      <c r="G24" s="64">
        <v>-12127</v>
      </c>
      <c r="H24" s="64">
        <v>-14840</v>
      </c>
      <c r="I24" s="64">
        <v>-31417</v>
      </c>
      <c r="J24" s="64">
        <v>-55466</v>
      </c>
      <c r="K24" s="64">
        <v>-110379</v>
      </c>
      <c r="L24" s="65">
        <v>-136494</v>
      </c>
      <c r="M24" s="65">
        <v>-217270</v>
      </c>
      <c r="N24" s="65">
        <v>-53968</v>
      </c>
      <c r="O24" s="64">
        <v>-101376</v>
      </c>
      <c r="P24" s="64">
        <v>-131886</v>
      </c>
      <c r="Q24" s="64">
        <v>-170905</v>
      </c>
      <c r="R24" s="64">
        <v>-7826</v>
      </c>
      <c r="S24" s="64">
        <v>-9147</v>
      </c>
      <c r="T24" s="64">
        <v>-23871</v>
      </c>
      <c r="U24" s="64">
        <v>-15865</v>
      </c>
      <c r="V24" s="64"/>
      <c r="W24" s="64"/>
      <c r="X24" s="64"/>
      <c r="Y24" s="64"/>
      <c r="Z24" s="64">
        <v>-341</v>
      </c>
      <c r="AA24" s="64">
        <v>-14293</v>
      </c>
      <c r="AB24" s="64">
        <v>-37959</v>
      </c>
      <c r="AC24" s="64">
        <v>-68462</v>
      </c>
      <c r="AD24" s="64">
        <v>-30768</v>
      </c>
      <c r="AE24" s="64">
        <v>-58041</v>
      </c>
      <c r="AF24" s="64">
        <v>-80380</v>
      </c>
      <c r="AG24" s="64">
        <v>-113869</v>
      </c>
      <c r="AH24" s="64">
        <v>-32145</v>
      </c>
      <c r="AI24" s="64">
        <v>-65264</v>
      </c>
      <c r="AJ24" s="64"/>
      <c r="AK24" s="64">
        <v>-15377</v>
      </c>
      <c r="AL24" s="64">
        <v>-29692</v>
      </c>
      <c r="AM24" s="64">
        <v>-31417</v>
      </c>
      <c r="AN24" s="64">
        <v>-217270</v>
      </c>
      <c r="AO24" s="64">
        <f>Q24</f>
        <v>-170905</v>
      </c>
      <c r="AP24" s="64">
        <f>U24</f>
        <v>-15865</v>
      </c>
      <c r="AQ24" s="64"/>
      <c r="AR24" s="64">
        <f>AC24</f>
        <v>-68462</v>
      </c>
      <c r="AS24" s="64">
        <f>AG24</f>
        <v>-113869</v>
      </c>
    </row>
    <row r="25" spans="1:45" ht="12.75">
      <c r="A25" s="63" t="s">
        <v>82</v>
      </c>
      <c r="B25" s="64">
        <v>-56605</v>
      </c>
      <c r="C25" s="64">
        <v>-69779</v>
      </c>
      <c r="D25" s="64">
        <v>-71944</v>
      </c>
      <c r="E25" s="64">
        <v>-74975</v>
      </c>
      <c r="F25" s="64">
        <v>11832</v>
      </c>
      <c r="G25" s="64">
        <v>15325</v>
      </c>
      <c r="H25" s="64">
        <v>55889</v>
      </c>
      <c r="I25" s="64">
        <v>80495</v>
      </c>
      <c r="J25" s="64">
        <v>28958</v>
      </c>
      <c r="K25" s="64">
        <v>36449</v>
      </c>
      <c r="L25" s="65">
        <v>-29183</v>
      </c>
      <c r="M25" s="65">
        <v>-366984</v>
      </c>
      <c r="N25" s="65">
        <v>-113004</v>
      </c>
      <c r="O25" s="64">
        <v>-89515</v>
      </c>
      <c r="P25" s="64">
        <v>-77683</v>
      </c>
      <c r="Q25" s="64">
        <v>-78026</v>
      </c>
      <c r="R25" s="64">
        <v>-53381</v>
      </c>
      <c r="S25" s="64">
        <v>-134002</v>
      </c>
      <c r="T25" s="64">
        <v>-53615</v>
      </c>
      <c r="U25" s="64">
        <v>-59262</v>
      </c>
      <c r="V25" s="64">
        <v>23032</v>
      </c>
      <c r="W25" s="64">
        <v>31044</v>
      </c>
      <c r="X25" s="64">
        <v>44834</v>
      </c>
      <c r="Y25" s="64">
        <v>18662</v>
      </c>
      <c r="Z25" s="64">
        <v>20514</v>
      </c>
      <c r="AA25" s="64">
        <v>2472</v>
      </c>
      <c r="AB25" s="64">
        <v>-10792</v>
      </c>
      <c r="AC25" s="64">
        <v>3282</v>
      </c>
      <c r="AD25" s="64">
        <v>-26656</v>
      </c>
      <c r="AE25" s="64">
        <v>-31676</v>
      </c>
      <c r="AF25" s="64">
        <v>20647</v>
      </c>
      <c r="AG25" s="64">
        <v>37804</v>
      </c>
      <c r="AH25" s="64">
        <v>46215</v>
      </c>
      <c r="AI25" s="64">
        <v>-15928</v>
      </c>
      <c r="AJ25" s="64"/>
      <c r="AK25" s="64">
        <v>-9805</v>
      </c>
      <c r="AL25" s="64">
        <v>-74975</v>
      </c>
      <c r="AM25" s="64">
        <v>80495</v>
      </c>
      <c r="AN25" s="64">
        <v>-366984</v>
      </c>
      <c r="AO25" s="64">
        <f>Q25</f>
        <v>-78026</v>
      </c>
      <c r="AP25" s="64">
        <f>U25</f>
        <v>-59262</v>
      </c>
      <c r="AQ25" s="64">
        <f>Y25</f>
        <v>18662</v>
      </c>
      <c r="AR25" s="64">
        <f>AC25</f>
        <v>3282</v>
      </c>
      <c r="AS25" s="64">
        <f>AG25</f>
        <v>37804</v>
      </c>
    </row>
    <row r="26" spans="1:45" ht="12.75">
      <c r="A26" s="63" t="s">
        <v>83</v>
      </c>
      <c r="B26" s="64"/>
      <c r="C26" s="64"/>
      <c r="D26" s="64"/>
      <c r="E26" s="64"/>
      <c r="F26" s="64"/>
      <c r="G26" s="64">
        <v>81511</v>
      </c>
      <c r="H26" s="64">
        <v>82116</v>
      </c>
      <c r="I26" s="64">
        <v>83122</v>
      </c>
      <c r="J26" s="64"/>
      <c r="K26" s="64"/>
      <c r="L26" s="65"/>
      <c r="M26" s="65"/>
      <c r="N26" s="65"/>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v>83122</v>
      </c>
      <c r="AN26" s="64"/>
      <c r="AO26" s="64"/>
      <c r="AP26" s="64"/>
      <c r="AQ26" s="64"/>
      <c r="AR26" s="64"/>
      <c r="AS26" s="64"/>
    </row>
    <row r="27" spans="1:45" ht="12.75">
      <c r="A27" s="63" t="s">
        <v>84</v>
      </c>
      <c r="B27" s="64">
        <v>-2466</v>
      </c>
      <c r="C27" s="64">
        <v>-8858</v>
      </c>
      <c r="D27" s="64">
        <v>-11147</v>
      </c>
      <c r="E27" s="64">
        <v>-26526</v>
      </c>
      <c r="F27" s="64">
        <v>13261</v>
      </c>
      <c r="G27" s="64">
        <v>1682</v>
      </c>
      <c r="H27" s="64">
        <v>-3197</v>
      </c>
      <c r="I27" s="64">
        <v>-22688</v>
      </c>
      <c r="J27" s="64">
        <v>-32059</v>
      </c>
      <c r="K27" s="64">
        <v>-54099</v>
      </c>
      <c r="L27" s="65">
        <v>-38988</v>
      </c>
      <c r="M27" s="65">
        <v>-414694</v>
      </c>
      <c r="N27" s="65">
        <v>-56913</v>
      </c>
      <c r="O27" s="64">
        <v>-73617</v>
      </c>
      <c r="P27" s="64">
        <v>-72589</v>
      </c>
      <c r="Q27" s="64">
        <v>-92661</v>
      </c>
      <c r="R27" s="64">
        <v>-24714</v>
      </c>
      <c r="S27" s="64">
        <v>-6063</v>
      </c>
      <c r="T27" s="64">
        <v>13177</v>
      </c>
      <c r="U27" s="64">
        <v>-4598</v>
      </c>
      <c r="V27" s="64">
        <v>-14037</v>
      </c>
      <c r="W27" s="64">
        <v>3229</v>
      </c>
      <c r="X27" s="64">
        <v>3948</v>
      </c>
      <c r="Y27" s="64">
        <v>-14337</v>
      </c>
      <c r="Z27" s="64">
        <v>-31061</v>
      </c>
      <c r="AA27" s="64">
        <v>-32463</v>
      </c>
      <c r="AB27" s="64">
        <v>-34994</v>
      </c>
      <c r="AC27" s="64">
        <v>-140428</v>
      </c>
      <c r="AD27" s="64">
        <v>-8291</v>
      </c>
      <c r="AE27" s="64">
        <v>-18450</v>
      </c>
      <c r="AF27" s="64">
        <v>-25663</v>
      </c>
      <c r="AG27" s="64">
        <v>-123222</v>
      </c>
      <c r="AH27" s="64">
        <v>-6681</v>
      </c>
      <c r="AI27" s="64">
        <v>-18041</v>
      </c>
      <c r="AJ27" s="64"/>
      <c r="AK27" s="64">
        <v>-16468</v>
      </c>
      <c r="AL27" s="64">
        <v>-26526</v>
      </c>
      <c r="AM27" s="64">
        <v>-22688</v>
      </c>
      <c r="AN27" s="64">
        <v>-414694</v>
      </c>
      <c r="AO27" s="64">
        <f>Q27</f>
        <v>-92661</v>
      </c>
      <c r="AP27" s="64">
        <f>U27</f>
        <v>-4598</v>
      </c>
      <c r="AQ27" s="64">
        <f>Y27</f>
        <v>-14337</v>
      </c>
      <c r="AR27" s="64">
        <f>AC27</f>
        <v>-140428</v>
      </c>
      <c r="AS27" s="64">
        <f>AG27</f>
        <v>-123222</v>
      </c>
    </row>
    <row r="28" spans="1:45" ht="5.25" customHeight="1">
      <c r="A28" s="71"/>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row>
    <row r="29" spans="1:45" ht="12.75">
      <c r="A29" s="72" t="s">
        <v>85</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row>
    <row r="30" spans="1:45" ht="12.75">
      <c r="A30" s="74" t="s">
        <v>86</v>
      </c>
      <c r="B30" s="75">
        <v>724364</v>
      </c>
      <c r="C30" s="75">
        <v>1278884</v>
      </c>
      <c r="D30" s="75">
        <v>2046864</v>
      </c>
      <c r="E30" s="75">
        <v>2621055</v>
      </c>
      <c r="F30" s="75">
        <v>667763</v>
      </c>
      <c r="G30" s="75">
        <v>1492061</v>
      </c>
      <c r="H30" s="75">
        <v>2341613</v>
      </c>
      <c r="I30" s="75">
        <v>3156827</v>
      </c>
      <c r="J30" s="75">
        <v>762941</v>
      </c>
      <c r="K30" s="75">
        <v>1990424</v>
      </c>
      <c r="L30" s="75">
        <v>3652498</v>
      </c>
      <c r="M30" s="75">
        <v>3131697</v>
      </c>
      <c r="N30" s="75">
        <v>-110473</v>
      </c>
      <c r="O30" s="75">
        <v>-34949</v>
      </c>
      <c r="P30" s="75">
        <v>300486</v>
      </c>
      <c r="Q30" s="75">
        <v>594739</v>
      </c>
      <c r="R30" s="75">
        <v>186770</v>
      </c>
      <c r="S30" s="75">
        <v>741658</v>
      </c>
      <c r="T30" s="75">
        <v>1402139</v>
      </c>
      <c r="U30" s="75">
        <v>1722288</v>
      </c>
      <c r="V30" s="75">
        <v>472686</v>
      </c>
      <c r="W30" s="75">
        <v>1170098</v>
      </c>
      <c r="X30" s="75">
        <v>1537853</v>
      </c>
      <c r="Y30" s="75">
        <v>1682164</v>
      </c>
      <c r="Z30" s="75">
        <v>250614</v>
      </c>
      <c r="AA30" s="75">
        <v>609675</v>
      </c>
      <c r="AB30" s="75">
        <v>838810</v>
      </c>
      <c r="AC30" s="75">
        <v>914869</v>
      </c>
      <c r="AD30" s="75">
        <v>52906</v>
      </c>
      <c r="AE30" s="75">
        <v>195466</v>
      </c>
      <c r="AF30" s="75">
        <v>392576</v>
      </c>
      <c r="AG30" s="75">
        <v>483481</v>
      </c>
      <c r="AH30" s="75">
        <v>282543</v>
      </c>
      <c r="AI30" s="75">
        <v>567379</v>
      </c>
      <c r="AJ30" s="75"/>
      <c r="AK30" s="75">
        <v>1892274</v>
      </c>
      <c r="AL30" s="75">
        <v>2621055</v>
      </c>
      <c r="AM30" s="75">
        <v>3156827</v>
      </c>
      <c r="AN30" s="75">
        <v>3131697</v>
      </c>
      <c r="AO30" s="75">
        <f>Q30</f>
        <v>594739</v>
      </c>
      <c r="AP30" s="75">
        <f>U30</f>
        <v>1722288</v>
      </c>
      <c r="AQ30" s="75">
        <f>Y30</f>
        <v>1682164</v>
      </c>
      <c r="AR30" s="75">
        <f>AC30</f>
        <v>914869</v>
      </c>
      <c r="AS30" s="75">
        <f>AG30</f>
        <v>483481</v>
      </c>
    </row>
    <row r="31" spans="1:45" ht="5.25" customHeight="1">
      <c r="A31" s="61"/>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row>
    <row r="32" spans="1:45" ht="12.75">
      <c r="A32" s="76" t="s">
        <v>87</v>
      </c>
      <c r="B32" s="64">
        <v>-176424</v>
      </c>
      <c r="C32" s="64">
        <v>-325970</v>
      </c>
      <c r="D32" s="64">
        <v>-522207</v>
      </c>
      <c r="E32" s="64">
        <v>-706605</v>
      </c>
      <c r="F32" s="64">
        <v>-216892</v>
      </c>
      <c r="G32" s="64">
        <v>-423979</v>
      </c>
      <c r="H32" s="64">
        <v>-641168</v>
      </c>
      <c r="I32" s="64">
        <v>-837003</v>
      </c>
      <c r="J32" s="64">
        <v>-128282</v>
      </c>
      <c r="K32" s="64">
        <v>-474960</v>
      </c>
      <c r="L32" s="65">
        <v>-853768</v>
      </c>
      <c r="M32" s="65">
        <v>-703474</v>
      </c>
      <c r="N32" s="65">
        <v>1439</v>
      </c>
      <c r="O32" s="64">
        <v>-26437</v>
      </c>
      <c r="P32" s="64">
        <v>-131536</v>
      </c>
      <c r="Q32" s="64">
        <v>-181784</v>
      </c>
      <c r="R32" s="64">
        <v>-52114</v>
      </c>
      <c r="S32" s="64">
        <v>-175601</v>
      </c>
      <c r="T32" s="64">
        <v>-301517</v>
      </c>
      <c r="U32" s="64">
        <v>-390972</v>
      </c>
      <c r="V32" s="64">
        <v>-107206</v>
      </c>
      <c r="W32" s="64">
        <v>-251564</v>
      </c>
      <c r="X32" s="64">
        <v>-400047</v>
      </c>
      <c r="Y32" s="64">
        <v>-421034</v>
      </c>
      <c r="Z32" s="64">
        <v>-77073</v>
      </c>
      <c r="AA32" s="64">
        <v>-160781</v>
      </c>
      <c r="AB32" s="64">
        <v>-223451</v>
      </c>
      <c r="AC32" s="64">
        <v>-304712</v>
      </c>
      <c r="AD32" s="64">
        <v>-17579</v>
      </c>
      <c r="AE32" s="64">
        <v>-127169</v>
      </c>
      <c r="AF32" s="64">
        <v>-185976</v>
      </c>
      <c r="AG32" s="64">
        <v>-221937</v>
      </c>
      <c r="AH32" s="64">
        <v>-65176</v>
      </c>
      <c r="AI32" s="64">
        <v>-131035</v>
      </c>
      <c r="AJ32" s="64"/>
      <c r="AK32" s="64">
        <v>-497273</v>
      </c>
      <c r="AL32" s="64">
        <v>-706605</v>
      </c>
      <c r="AM32" s="64">
        <v>-837003</v>
      </c>
      <c r="AN32" s="64">
        <v>-703474</v>
      </c>
      <c r="AO32" s="64">
        <f>Q32</f>
        <v>-181784</v>
      </c>
      <c r="AP32" s="64">
        <f>U32</f>
        <v>-390972</v>
      </c>
      <c r="AQ32" s="64">
        <f>Y32</f>
        <v>-421034</v>
      </c>
      <c r="AR32" s="64">
        <f>AC32</f>
        <v>-304712</v>
      </c>
      <c r="AS32" s="64">
        <f>AG32</f>
        <v>-221937</v>
      </c>
    </row>
    <row r="33" spans="1:45" ht="5.25" customHeight="1">
      <c r="A33" s="71"/>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row>
    <row r="34" spans="1:45" ht="12.75">
      <c r="A34" s="71"/>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row>
    <row r="35" spans="1:45" ht="12.75" customHeight="1">
      <c r="A35" s="77" t="s">
        <v>88</v>
      </c>
      <c r="B35" s="78">
        <v>547940</v>
      </c>
      <c r="C35" s="78">
        <v>952914</v>
      </c>
      <c r="D35" s="78">
        <v>1524657</v>
      </c>
      <c r="E35" s="78">
        <v>1914450</v>
      </c>
      <c r="F35" s="78">
        <v>450871</v>
      </c>
      <c r="G35" s="78">
        <v>1068082</v>
      </c>
      <c r="H35" s="78">
        <v>1700445</v>
      </c>
      <c r="I35" s="78">
        <v>2319824</v>
      </c>
      <c r="J35" s="78">
        <v>634659</v>
      </c>
      <c r="K35" s="78">
        <v>1515464</v>
      </c>
      <c r="L35" s="78">
        <v>2798730</v>
      </c>
      <c r="M35" s="60">
        <v>2428223</v>
      </c>
      <c r="N35" s="60">
        <v>-109034</v>
      </c>
      <c r="O35" s="78">
        <v>-61386</v>
      </c>
      <c r="P35" s="78">
        <v>168950</v>
      </c>
      <c r="Q35" s="78">
        <v>412955</v>
      </c>
      <c r="R35" s="78">
        <v>134656</v>
      </c>
      <c r="S35" s="78">
        <v>566057</v>
      </c>
      <c r="T35" s="78">
        <v>1100622</v>
      </c>
      <c r="U35" s="78">
        <v>1331316</v>
      </c>
      <c r="V35" s="78">
        <v>365480</v>
      </c>
      <c r="W35" s="78">
        <v>918534</v>
      </c>
      <c r="X35" s="78">
        <v>1137806</v>
      </c>
      <c r="Y35" s="78">
        <v>1261130</v>
      </c>
      <c r="Z35" s="78">
        <v>173541</v>
      </c>
      <c r="AA35" s="78">
        <v>448894</v>
      </c>
      <c r="AB35" s="78">
        <v>615359</v>
      </c>
      <c r="AC35" s="78">
        <v>610157</v>
      </c>
      <c r="AD35" s="78">
        <v>35327</v>
      </c>
      <c r="AE35" s="78">
        <v>68297</v>
      </c>
      <c r="AF35" s="78">
        <v>206600</v>
      </c>
      <c r="AG35" s="78">
        <v>261544</v>
      </c>
      <c r="AH35" s="78">
        <v>217367</v>
      </c>
      <c r="AI35" s="78">
        <v>436344</v>
      </c>
      <c r="AJ35" s="78"/>
      <c r="AK35" s="78">
        <v>1395001</v>
      </c>
      <c r="AL35" s="78">
        <v>1914450</v>
      </c>
      <c r="AM35" s="78">
        <v>2319824</v>
      </c>
      <c r="AN35" s="78">
        <v>2428223</v>
      </c>
      <c r="AO35" s="78">
        <f>Q35</f>
        <v>412955</v>
      </c>
      <c r="AP35" s="78">
        <f>U35</f>
        <v>1331316</v>
      </c>
      <c r="AQ35" s="78">
        <f>Y35</f>
        <v>1261130</v>
      </c>
      <c r="AR35" s="78">
        <f>AC35</f>
        <v>610157</v>
      </c>
      <c r="AS35" s="78">
        <f>AG35</f>
        <v>261544</v>
      </c>
    </row>
    <row r="36" spans="1:45" ht="5.25" customHeight="1">
      <c r="A36" s="71"/>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row>
    <row r="37" spans="1:45" ht="12.75">
      <c r="A37" s="71" t="s">
        <v>7</v>
      </c>
      <c r="B37" s="65">
        <v>-3692</v>
      </c>
      <c r="C37" s="65">
        <v>-11900</v>
      </c>
      <c r="D37" s="65">
        <v>-15807</v>
      </c>
      <c r="E37" s="65">
        <v>-25773</v>
      </c>
      <c r="F37" s="65">
        <v>-5660</v>
      </c>
      <c r="G37" s="65">
        <v>-12067</v>
      </c>
      <c r="H37" s="65">
        <v>-18429</v>
      </c>
      <c r="I37" s="65">
        <v>-23490</v>
      </c>
      <c r="J37" s="65"/>
      <c r="K37" s="65">
        <v>-27422</v>
      </c>
      <c r="L37" s="65">
        <v>-101370</v>
      </c>
      <c r="M37" s="65">
        <v>1730</v>
      </c>
      <c r="N37" s="65"/>
      <c r="O37" s="65"/>
      <c r="P37" s="65"/>
      <c r="Q37" s="65"/>
      <c r="R37" s="65"/>
      <c r="S37" s="65"/>
      <c r="T37" s="65"/>
      <c r="U37" s="65"/>
      <c r="V37" s="65"/>
      <c r="W37" s="65"/>
      <c r="X37" s="65"/>
      <c r="Y37" s="65"/>
      <c r="Z37" s="65"/>
      <c r="AA37" s="65"/>
      <c r="AB37" s="65"/>
      <c r="AC37" s="65"/>
      <c r="AD37" s="65"/>
      <c r="AE37" s="65"/>
      <c r="AF37" s="65"/>
      <c r="AG37" s="65"/>
      <c r="AH37" s="65"/>
      <c r="AI37" s="65"/>
      <c r="AJ37" s="65"/>
      <c r="AK37" s="65">
        <v>-21080</v>
      </c>
      <c r="AL37" s="65">
        <v>-25773</v>
      </c>
      <c r="AM37" s="65">
        <v>-23490</v>
      </c>
      <c r="AN37" s="65">
        <v>1730</v>
      </c>
      <c r="AO37" s="65"/>
      <c r="AP37" s="65"/>
      <c r="AQ37" s="65"/>
      <c r="AR37" s="65"/>
      <c r="AS37" s="65"/>
    </row>
    <row r="38" spans="1:45" ht="5.25" customHeight="1">
      <c r="A38" s="71"/>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row>
    <row r="39" spans="1:45" ht="12.75">
      <c r="A39" s="71" t="s">
        <v>39</v>
      </c>
      <c r="B39" s="65">
        <v>483</v>
      </c>
      <c r="C39" s="65">
        <v>492</v>
      </c>
      <c r="D39" s="65">
        <v>497</v>
      </c>
      <c r="E39" s="65">
        <v>501</v>
      </c>
      <c r="F39" s="65">
        <v>10180</v>
      </c>
      <c r="G39" s="65">
        <v>7729</v>
      </c>
      <c r="H39" s="65">
        <v>-25829</v>
      </c>
      <c r="I39" s="65">
        <v>-50312</v>
      </c>
      <c r="J39" s="65">
        <v>-7841</v>
      </c>
      <c r="K39" s="65">
        <v>42774</v>
      </c>
      <c r="L39" s="65">
        <v>62009</v>
      </c>
      <c r="M39" s="65">
        <v>-151212</v>
      </c>
      <c r="N39" s="65">
        <v>-142638</v>
      </c>
      <c r="O39" s="65">
        <v>-258805</v>
      </c>
      <c r="P39" s="65">
        <v>-344093</v>
      </c>
      <c r="Q39" s="65">
        <v>-314859</v>
      </c>
      <c r="R39" s="65">
        <v>-26716</v>
      </c>
      <c r="S39" s="65">
        <v>-5582</v>
      </c>
      <c r="T39" s="65">
        <v>-18862</v>
      </c>
      <c r="U39" s="65">
        <v>-107338</v>
      </c>
      <c r="V39" s="65">
        <v>15421</v>
      </c>
      <c r="W39" s="65">
        <v>53260</v>
      </c>
      <c r="X39" s="65">
        <v>54048</v>
      </c>
      <c r="Y39" s="65">
        <v>54272</v>
      </c>
      <c r="Z39" s="65">
        <v>87</v>
      </c>
      <c r="AA39" s="65">
        <v>349</v>
      </c>
      <c r="AB39" s="65">
        <v>333</v>
      </c>
      <c r="AC39" s="65">
        <v>276</v>
      </c>
      <c r="AD39" s="65">
        <v>77</v>
      </c>
      <c r="AE39" s="65">
        <v>151</v>
      </c>
      <c r="AF39" s="65">
        <v>221</v>
      </c>
      <c r="AG39" s="65">
        <v>-53958</v>
      </c>
      <c r="AH39" s="65">
        <v>-44494</v>
      </c>
      <c r="AI39" s="65">
        <v>-104945</v>
      </c>
      <c r="AJ39" s="65"/>
      <c r="AK39" s="65">
        <v>3701</v>
      </c>
      <c r="AL39" s="65">
        <v>501</v>
      </c>
      <c r="AM39" s="65">
        <v>-50312</v>
      </c>
      <c r="AN39" s="65">
        <v>-151212</v>
      </c>
      <c r="AO39" s="65">
        <f>Q39</f>
        <v>-314859</v>
      </c>
      <c r="AP39" s="65">
        <f>U39</f>
        <v>-107338</v>
      </c>
      <c r="AQ39" s="65">
        <f>Y39</f>
        <v>54272</v>
      </c>
      <c r="AR39" s="65">
        <f>AC39</f>
        <v>276</v>
      </c>
      <c r="AS39" s="65">
        <f>AG39</f>
        <v>-53958</v>
      </c>
    </row>
    <row r="40" spans="1:45" ht="5.25" customHeight="1">
      <c r="A40" s="71"/>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row>
    <row r="41" spans="1:45" ht="12.75">
      <c r="A41" s="59" t="s">
        <v>89</v>
      </c>
      <c r="B41" s="60">
        <v>544731</v>
      </c>
      <c r="C41" s="60">
        <v>941506</v>
      </c>
      <c r="D41" s="60">
        <v>1509347</v>
      </c>
      <c r="E41" s="60">
        <v>1889178</v>
      </c>
      <c r="F41" s="60">
        <v>455391</v>
      </c>
      <c r="G41" s="60">
        <v>1063744</v>
      </c>
      <c r="H41" s="60">
        <v>1656187</v>
      </c>
      <c r="I41" s="60">
        <v>2246022</v>
      </c>
      <c r="J41" s="60">
        <v>617724</v>
      </c>
      <c r="K41" s="60">
        <v>1530816</v>
      </c>
      <c r="L41" s="60">
        <v>2759369</v>
      </c>
      <c r="M41" s="60">
        <v>2278741</v>
      </c>
      <c r="N41" s="60">
        <v>-251672</v>
      </c>
      <c r="O41" s="60">
        <v>-320191</v>
      </c>
      <c r="P41" s="60">
        <v>-175143</v>
      </c>
      <c r="Q41" s="60">
        <v>98096</v>
      </c>
      <c r="R41" s="60">
        <v>107940</v>
      </c>
      <c r="S41" s="60">
        <v>560475</v>
      </c>
      <c r="T41" s="60">
        <v>1081760</v>
      </c>
      <c r="U41" s="60">
        <v>1223978</v>
      </c>
      <c r="V41" s="60">
        <v>380901</v>
      </c>
      <c r="W41" s="60">
        <v>971794</v>
      </c>
      <c r="X41" s="60">
        <v>1191854</v>
      </c>
      <c r="Y41" s="60">
        <v>1315402</v>
      </c>
      <c r="Z41" s="60">
        <v>173628</v>
      </c>
      <c r="AA41" s="60">
        <v>449243</v>
      </c>
      <c r="AB41" s="60">
        <v>615692</v>
      </c>
      <c r="AC41" s="60">
        <v>610433</v>
      </c>
      <c r="AD41" s="60">
        <v>35404</v>
      </c>
      <c r="AE41" s="60">
        <v>68448</v>
      </c>
      <c r="AF41" s="60">
        <v>206821</v>
      </c>
      <c r="AG41" s="60">
        <v>207586</v>
      </c>
      <c r="AH41" s="60">
        <v>172873</v>
      </c>
      <c r="AI41" s="60">
        <v>331399</v>
      </c>
      <c r="AJ41" s="60"/>
      <c r="AK41" s="60">
        <v>1377622</v>
      </c>
      <c r="AL41" s="60">
        <v>1889178</v>
      </c>
      <c r="AM41" s="60">
        <v>2246022</v>
      </c>
      <c r="AN41" s="60">
        <v>2278741</v>
      </c>
      <c r="AO41" s="60">
        <f>Q41</f>
        <v>98096</v>
      </c>
      <c r="AP41" s="60">
        <f>U41</f>
        <v>1223978</v>
      </c>
      <c r="AQ41" s="60">
        <f>Y41</f>
        <v>1315402</v>
      </c>
      <c r="AR41" s="60">
        <f>AC41</f>
        <v>610433</v>
      </c>
      <c r="AS41" s="60">
        <f>AG41</f>
        <v>207586</v>
      </c>
    </row>
    <row r="42" spans="1:45" ht="5.25" customHeight="1">
      <c r="A42" s="61"/>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row>
    <row r="43" spans="1:45" ht="12.75">
      <c r="A43" s="59" t="s">
        <v>90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row>
    <row r="44" spans="1:45" ht="5.25" customHeight="1">
      <c r="A44" s="61"/>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row>
    <row r="45" spans="1:45" ht="12.75">
      <c r="A45" s="71" t="s">
        <v>91</v>
      </c>
      <c r="B45" s="65">
        <v>1172</v>
      </c>
      <c r="C45" s="65">
        <v>2279</v>
      </c>
      <c r="D45" s="65">
        <v>226706</v>
      </c>
      <c r="E45" s="65">
        <v>228499</v>
      </c>
      <c r="F45" s="65">
        <v>1226</v>
      </c>
      <c r="G45" s="65">
        <v>1236</v>
      </c>
      <c r="H45" s="65">
        <v>1245</v>
      </c>
      <c r="I45" s="65">
        <v>1261</v>
      </c>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v>3773</v>
      </c>
      <c r="AL45" s="65">
        <v>228499</v>
      </c>
      <c r="AM45" s="65">
        <v>1261</v>
      </c>
      <c r="AN45" s="65"/>
      <c r="AO45" s="65"/>
      <c r="AP45" s="65"/>
      <c r="AQ45" s="65"/>
      <c r="AR45" s="65"/>
      <c r="AS45" s="65"/>
    </row>
    <row r="46" spans="1:45" ht="12.75">
      <c r="A46" s="71" t="s">
        <v>87</v>
      </c>
      <c r="B46" s="65"/>
      <c r="C46" s="65"/>
      <c r="D46" s="65">
        <v>-51334</v>
      </c>
      <c r="E46" s="65">
        <v>-51714</v>
      </c>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v>-51714</v>
      </c>
      <c r="AM46" s="65"/>
      <c r="AN46" s="65"/>
      <c r="AO46" s="65"/>
      <c r="AP46" s="65"/>
      <c r="AQ46" s="65"/>
      <c r="AR46" s="65"/>
      <c r="AS46" s="65"/>
    </row>
    <row r="47" spans="1:45" ht="5.25" customHeight="1">
      <c r="A47" s="71"/>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row>
    <row r="48" spans="1:45" ht="12.75">
      <c r="A48" s="59" t="s">
        <v>92</v>
      </c>
      <c r="B48" s="60">
        <v>1172</v>
      </c>
      <c r="C48" s="60">
        <v>2279</v>
      </c>
      <c r="D48" s="60">
        <v>175372</v>
      </c>
      <c r="E48" s="60">
        <v>176785</v>
      </c>
      <c r="F48" s="60">
        <v>1226</v>
      </c>
      <c r="G48" s="60">
        <v>1236</v>
      </c>
      <c r="H48" s="60">
        <v>1245</v>
      </c>
      <c r="I48" s="60">
        <v>1261</v>
      </c>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v>3773</v>
      </c>
      <c r="AL48" s="60">
        <v>176785</v>
      </c>
      <c r="AM48" s="60">
        <v>1261</v>
      </c>
      <c r="AN48" s="60"/>
      <c r="AO48" s="60"/>
      <c r="AP48" s="60"/>
      <c r="AQ48" s="60"/>
      <c r="AR48" s="60"/>
      <c r="AS48" s="60"/>
    </row>
    <row r="49" spans="1:45" ht="5.25" customHeight="1">
      <c r="A49" s="61"/>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row>
    <row r="50" spans="1:45" ht="12.75">
      <c r="A50" s="59" t="s">
        <v>224</v>
      </c>
      <c r="B50" s="60">
        <v>545903</v>
      </c>
      <c r="C50" s="60">
        <v>943785</v>
      </c>
      <c r="D50" s="60">
        <v>1684719</v>
      </c>
      <c r="E50" s="60">
        <v>2065963</v>
      </c>
      <c r="F50" s="60">
        <v>456617</v>
      </c>
      <c r="G50" s="60">
        <v>1064980</v>
      </c>
      <c r="H50" s="60">
        <v>1657432</v>
      </c>
      <c r="I50" s="60">
        <v>2247283</v>
      </c>
      <c r="J50" s="60">
        <v>626818</v>
      </c>
      <c r="K50" s="60">
        <v>1530816</v>
      </c>
      <c r="L50" s="60">
        <v>2759369</v>
      </c>
      <c r="M50" s="60">
        <v>2278741</v>
      </c>
      <c r="N50" s="60">
        <v>-251672</v>
      </c>
      <c r="O50" s="60">
        <v>-320191</v>
      </c>
      <c r="P50" s="60">
        <v>-175143</v>
      </c>
      <c r="Q50" s="60">
        <v>98096</v>
      </c>
      <c r="R50" s="60">
        <v>107940</v>
      </c>
      <c r="S50" s="60">
        <v>560475</v>
      </c>
      <c r="T50" s="60">
        <v>1081760</v>
      </c>
      <c r="U50" s="60">
        <v>1223978</v>
      </c>
      <c r="V50" s="60">
        <v>380901</v>
      </c>
      <c r="W50" s="60">
        <v>971794</v>
      </c>
      <c r="X50" s="60">
        <v>1191854</v>
      </c>
      <c r="Y50" s="60">
        <v>1315402</v>
      </c>
      <c r="Z50" s="60">
        <v>173628</v>
      </c>
      <c r="AA50" s="60">
        <v>449243</v>
      </c>
      <c r="AB50" s="60">
        <v>615692</v>
      </c>
      <c r="AC50" s="60">
        <v>610433</v>
      </c>
      <c r="AD50" s="60">
        <v>35404</v>
      </c>
      <c r="AE50" s="60">
        <v>68448</v>
      </c>
      <c r="AF50" s="60">
        <v>206821</v>
      </c>
      <c r="AG50" s="60">
        <v>207586</v>
      </c>
      <c r="AH50" s="60">
        <v>172873</v>
      </c>
      <c r="AI50" s="60">
        <v>331399</v>
      </c>
      <c r="AJ50" s="60"/>
      <c r="AK50" s="60">
        <v>1381395</v>
      </c>
      <c r="AL50" s="60">
        <v>2065963</v>
      </c>
      <c r="AM50" s="60">
        <v>2247283</v>
      </c>
      <c r="AN50" s="60">
        <v>2278741</v>
      </c>
      <c r="AO50" s="60">
        <f>Q50</f>
        <v>98096</v>
      </c>
      <c r="AP50" s="60">
        <f>U50</f>
        <v>1223978</v>
      </c>
      <c r="AQ50" s="60">
        <f>Y50</f>
        <v>1315402</v>
      </c>
      <c r="AR50" s="60">
        <f>AC50</f>
        <v>610433</v>
      </c>
      <c r="AS50" s="60">
        <f>AG50</f>
        <v>207586</v>
      </c>
    </row>
    <row r="51" spans="1:45" ht="5.25" customHeight="1">
      <c r="A51" s="61"/>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row>
    <row r="52" spans="1:45" ht="12.75">
      <c r="A52" s="71" t="s">
        <v>267</v>
      </c>
      <c r="B52" s="65"/>
      <c r="C52" s="65"/>
      <c r="D52" s="65"/>
      <c r="E52" s="65"/>
      <c r="F52" s="65"/>
      <c r="G52" s="65"/>
      <c r="H52" s="65"/>
      <c r="I52" s="65"/>
      <c r="J52" s="65">
        <v>-9094</v>
      </c>
      <c r="K52" s="65"/>
      <c r="L52" s="65"/>
      <c r="M52" s="65">
        <v>1730</v>
      </c>
      <c r="N52" s="65">
        <v>57851</v>
      </c>
      <c r="O52" s="65">
        <v>77270</v>
      </c>
      <c r="P52" s="65">
        <v>96020</v>
      </c>
      <c r="Q52" s="65">
        <v>116959</v>
      </c>
      <c r="R52" s="65">
        <v>23611</v>
      </c>
      <c r="S52" s="65">
        <v>29590</v>
      </c>
      <c r="T52" s="65">
        <v>24736</v>
      </c>
      <c r="U52" s="65">
        <v>31065</v>
      </c>
      <c r="V52" s="65">
        <v>11474</v>
      </c>
      <c r="W52" s="65">
        <v>7611</v>
      </c>
      <c r="X52" s="65">
        <v>12309</v>
      </c>
      <c r="Y52" s="65">
        <v>42192</v>
      </c>
      <c r="Z52" s="65">
        <v>-725</v>
      </c>
      <c r="AA52" s="65">
        <v>1340</v>
      </c>
      <c r="AB52" s="65">
        <v>1729</v>
      </c>
      <c r="AC52" s="65">
        <v>-14628</v>
      </c>
      <c r="AD52" s="65">
        <v>2494</v>
      </c>
      <c r="AE52" s="65">
        <v>3149</v>
      </c>
      <c r="AF52" s="65">
        <v>2451</v>
      </c>
      <c r="AG52" s="65">
        <v>-18846</v>
      </c>
      <c r="AH52" s="65">
        <v>1012</v>
      </c>
      <c r="AI52" s="65">
        <v>891</v>
      </c>
      <c r="AJ52" s="65"/>
      <c r="AK52" s="65"/>
      <c r="AL52" s="65"/>
      <c r="AM52" s="65"/>
      <c r="AN52" s="65">
        <f>M52</f>
        <v>1730</v>
      </c>
      <c r="AO52" s="65">
        <f>Q52</f>
        <v>116959</v>
      </c>
      <c r="AP52" s="65">
        <f>U52</f>
        <v>31065</v>
      </c>
      <c r="AQ52" s="65">
        <f>Y52</f>
        <v>42192</v>
      </c>
      <c r="AR52" s="65">
        <f>AC52</f>
        <v>-14628</v>
      </c>
      <c r="AS52" s="65">
        <f>AG52</f>
        <v>-18846</v>
      </c>
    </row>
    <row r="53" spans="1:45" ht="19.5" customHeight="1">
      <c r="A53" s="307" t="s">
        <v>173</v>
      </c>
      <c r="B53" s="308"/>
      <c r="C53" s="308"/>
      <c r="D53" s="308"/>
      <c r="E53" s="308"/>
      <c r="F53" s="308"/>
      <c r="G53" s="308"/>
      <c r="H53" s="308"/>
      <c r="I53" s="308"/>
      <c r="J53" s="308">
        <v>617724</v>
      </c>
      <c r="K53" s="308"/>
      <c r="L53" s="308"/>
      <c r="M53" s="308">
        <v>2278741</v>
      </c>
      <c r="N53" s="308">
        <v>-193821</v>
      </c>
      <c r="O53" s="308">
        <v>-242921</v>
      </c>
      <c r="P53" s="308">
        <v>-79123</v>
      </c>
      <c r="Q53" s="308">
        <v>215055</v>
      </c>
      <c r="R53" s="308">
        <v>131551</v>
      </c>
      <c r="S53" s="308">
        <v>590065</v>
      </c>
      <c r="T53" s="308">
        <v>1106496</v>
      </c>
      <c r="U53" s="308">
        <v>1255043</v>
      </c>
      <c r="V53" s="308">
        <v>392375</v>
      </c>
      <c r="W53" s="308">
        <v>979405</v>
      </c>
      <c r="X53" s="308">
        <v>1204163</v>
      </c>
      <c r="Y53" s="308">
        <v>1357594</v>
      </c>
      <c r="Z53" s="308">
        <v>172904</v>
      </c>
      <c r="AA53" s="308">
        <v>450583</v>
      </c>
      <c r="AB53" s="308">
        <v>617421</v>
      </c>
      <c r="AC53" s="308">
        <v>595805</v>
      </c>
      <c r="AD53" s="308">
        <v>37898</v>
      </c>
      <c r="AE53" s="308">
        <v>71597</v>
      </c>
      <c r="AF53" s="308">
        <v>209272</v>
      </c>
      <c r="AG53" s="308">
        <v>188740</v>
      </c>
      <c r="AH53" s="308">
        <v>173885</v>
      </c>
      <c r="AI53" s="308">
        <v>332290</v>
      </c>
      <c r="AJ53" s="308"/>
      <c r="AK53" s="308">
        <f>AK50</f>
        <v>1381395</v>
      </c>
      <c r="AL53" s="308">
        <f>AL50</f>
        <v>2065963</v>
      </c>
      <c r="AM53" s="308">
        <f>AM50</f>
        <v>2247283</v>
      </c>
      <c r="AN53" s="308">
        <f>M53</f>
        <v>2278741</v>
      </c>
      <c r="AO53" s="308">
        <f>Q53</f>
        <v>215055</v>
      </c>
      <c r="AP53" s="308">
        <f>U53</f>
        <v>1255043</v>
      </c>
      <c r="AQ53" s="308">
        <f>Y53</f>
        <v>1357594</v>
      </c>
      <c r="AR53" s="308">
        <f>AC53</f>
        <v>595805</v>
      </c>
      <c r="AS53" s="308">
        <f>AG53</f>
        <v>188740</v>
      </c>
    </row>
    <row r="54" spans="1:45" ht="17.25" customHeight="1">
      <c r="A54" s="67"/>
      <c r="B54" s="68"/>
      <c r="C54" s="68"/>
      <c r="D54" s="68"/>
      <c r="E54" s="68"/>
      <c r="F54" s="68"/>
      <c r="G54" s="68"/>
      <c r="H54" s="68"/>
      <c r="I54" s="68"/>
      <c r="J54" s="68"/>
      <c r="K54" s="68"/>
      <c r="L54" s="65"/>
      <c r="M54" s="65"/>
      <c r="N54" s="65"/>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row>
    <row r="55" spans="1:45" ht="13.5" thickBot="1">
      <c r="A55" s="79" t="s">
        <v>2</v>
      </c>
      <c r="B55" s="80">
        <f aca="true" t="shared" si="0" ref="B55:L55">B17-B15-B14-B6</f>
        <v>450110</v>
      </c>
      <c r="C55" s="80">
        <f t="shared" si="0"/>
        <v>1080036</v>
      </c>
      <c r="D55" s="80">
        <f t="shared" si="0"/>
        <v>1926063</v>
      </c>
      <c r="E55" s="80">
        <f t="shared" si="0"/>
        <v>2757967</v>
      </c>
      <c r="F55" s="80">
        <f t="shared" si="0"/>
        <v>748507</v>
      </c>
      <c r="G55" s="80">
        <f t="shared" si="0"/>
        <v>1587947</v>
      </c>
      <c r="H55" s="80">
        <f t="shared" si="0"/>
        <v>2484797</v>
      </c>
      <c r="I55" s="80">
        <f t="shared" si="0"/>
        <v>3412260</v>
      </c>
      <c r="J55" s="80">
        <f t="shared" si="0"/>
        <v>895766</v>
      </c>
      <c r="K55" s="80">
        <f t="shared" si="0"/>
        <v>2315600</v>
      </c>
      <c r="L55" s="80">
        <f t="shared" si="0"/>
        <v>4160119</v>
      </c>
      <c r="M55" s="80">
        <f>M17-M15-M14-M6</f>
        <v>4688703</v>
      </c>
      <c r="N55" s="80">
        <f>N17-N15-N14-N6</f>
        <v>195716</v>
      </c>
      <c r="O55" s="80">
        <f>O17-O15-O14-O6</f>
        <v>427306</v>
      </c>
      <c r="P55" s="80">
        <f>P17-P15-P14-P6</f>
        <v>893230</v>
      </c>
      <c r="Q55" s="80">
        <f aca="true" t="shared" si="1" ref="Q55:Y55">Q17-Q15-Q14-Q6</f>
        <v>1413700</v>
      </c>
      <c r="R55" s="80">
        <f t="shared" si="1"/>
        <v>387455</v>
      </c>
      <c r="S55" s="80">
        <f t="shared" si="1"/>
        <v>1137041</v>
      </c>
      <c r="T55" s="80">
        <f t="shared" si="1"/>
        <v>1817598</v>
      </c>
      <c r="U55" s="80">
        <f t="shared" si="1"/>
        <v>2322187</v>
      </c>
      <c r="V55" s="80">
        <f t="shared" si="1"/>
        <v>587453</v>
      </c>
      <c r="W55" s="80">
        <f t="shared" si="1"/>
        <v>1411154</v>
      </c>
      <c r="X55" s="80">
        <f t="shared" si="1"/>
        <v>1883460</v>
      </c>
      <c r="Y55" s="80">
        <f t="shared" si="1"/>
        <v>2254386</v>
      </c>
      <c r="Z55" s="80">
        <f>Z17-Z15-Z14-Z6</f>
        <v>432161</v>
      </c>
      <c r="AA55" s="80">
        <f>AA17-AA15-AA14-AA6</f>
        <v>1028040</v>
      </c>
      <c r="AB55" s="80">
        <f>AB17-AB15-AB14-AB6</f>
        <v>1510933</v>
      </c>
      <c r="AC55" s="80">
        <v>1900490</v>
      </c>
      <c r="AD55" s="80">
        <v>318082</v>
      </c>
      <c r="AE55" s="80">
        <v>717755</v>
      </c>
      <c r="AF55" s="80">
        <v>1096269</v>
      </c>
      <c r="AG55" s="80">
        <f>AG17-AG15-AG14-AG6</f>
        <v>1505332</v>
      </c>
      <c r="AH55" s="80">
        <f>AH17-AH15-AH14-AH6</f>
        <v>468167</v>
      </c>
      <c r="AI55" s="80">
        <f>AI17-AI15-AI14-AI6</f>
        <v>1062591</v>
      </c>
      <c r="AJ55" s="80"/>
      <c r="AK55" s="81">
        <v>2089352</v>
      </c>
      <c r="AL55" s="81">
        <v>2705668</v>
      </c>
      <c r="AM55" s="81">
        <v>3336054</v>
      </c>
      <c r="AN55" s="81">
        <v>4537952</v>
      </c>
      <c r="AO55" s="81">
        <f>Q55</f>
        <v>1413700</v>
      </c>
      <c r="AP55" s="80">
        <f>U55</f>
        <v>2322187</v>
      </c>
      <c r="AQ55" s="80">
        <f>Y55</f>
        <v>2254386</v>
      </c>
      <c r="AR55" s="80">
        <f>AC55</f>
        <v>1900490</v>
      </c>
      <c r="AS55" s="80">
        <f>AG55</f>
        <v>1505332</v>
      </c>
    </row>
    <row r="56" spans="1:45" ht="12.75">
      <c r="A56" s="67"/>
      <c r="B56" s="68"/>
      <c r="C56" s="68"/>
      <c r="D56" s="68"/>
      <c r="E56" s="68"/>
      <c r="F56" s="68"/>
      <c r="G56" s="68"/>
      <c r="H56" s="68"/>
      <c r="I56" s="68"/>
      <c r="J56" s="68"/>
      <c r="K56" s="68"/>
      <c r="L56" s="65"/>
      <c r="M56" s="65"/>
      <c r="N56" s="65"/>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row>
    <row r="57" spans="1:45" ht="13.5" thickBot="1">
      <c r="A57" s="67"/>
      <c r="B57" s="68"/>
      <c r="C57" s="68"/>
      <c r="D57" s="68"/>
      <c r="E57" s="68"/>
      <c r="F57" s="68"/>
      <c r="G57" s="68"/>
      <c r="H57" s="68"/>
      <c r="I57" s="68"/>
      <c r="J57" s="68"/>
      <c r="K57" s="68"/>
      <c r="L57" s="65"/>
      <c r="M57" s="65"/>
      <c r="N57" s="65"/>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row>
    <row r="58" spans="1:45" s="84" customFormat="1" ht="12" thickBot="1">
      <c r="A58" s="82" t="s">
        <v>93</v>
      </c>
      <c r="B58" s="82">
        <f>B55/B3</f>
        <v>0.4141574094436097</v>
      </c>
      <c r="C58" s="82">
        <f aca="true" t="shared" si="2" ref="C58:AC58">C55/C3</f>
        <v>0.42487898237007693</v>
      </c>
      <c r="D58" s="82">
        <f t="shared" si="2"/>
        <v>0.4494933913097053</v>
      </c>
      <c r="E58" s="82">
        <f t="shared" si="2"/>
        <v>0.45619220510699887</v>
      </c>
      <c r="F58" s="82">
        <f t="shared" si="2"/>
        <v>0.42767771742794686</v>
      </c>
      <c r="G58" s="82">
        <f t="shared" si="2"/>
        <v>0.4399867667069632</v>
      </c>
      <c r="H58" s="82">
        <f t="shared" si="2"/>
        <v>0.4480698692665137</v>
      </c>
      <c r="I58" s="82">
        <f t="shared" si="2"/>
        <v>0.44205635892759493</v>
      </c>
      <c r="J58" s="82">
        <f t="shared" si="2"/>
        <v>0.3806489720642853</v>
      </c>
      <c r="K58" s="82">
        <f t="shared" si="2"/>
        <v>0.3935674931878627</v>
      </c>
      <c r="L58" s="82">
        <f t="shared" si="2"/>
        <v>0.43155267276473264</v>
      </c>
      <c r="M58" s="82">
        <f t="shared" si="2"/>
        <v>0.4007897143100394</v>
      </c>
      <c r="N58" s="82">
        <f t="shared" si="2"/>
        <v>0.15132766216715662</v>
      </c>
      <c r="O58" s="82">
        <f t="shared" si="2"/>
        <v>0.16522153023225422</v>
      </c>
      <c r="P58" s="82">
        <f t="shared" si="2"/>
        <v>0.20651136294540232</v>
      </c>
      <c r="Q58" s="82">
        <f t="shared" si="2"/>
        <v>0.23024823714412054</v>
      </c>
      <c r="R58" s="82">
        <f t="shared" si="2"/>
        <v>0.22825816728936835</v>
      </c>
      <c r="S58" s="82">
        <f t="shared" si="2"/>
        <v>0.29509556910645063</v>
      </c>
      <c r="T58" s="82">
        <f t="shared" si="2"/>
        <v>0.2987192660333338</v>
      </c>
      <c r="U58" s="82">
        <f t="shared" si="2"/>
        <v>0.2780813167874303</v>
      </c>
      <c r="V58" s="82">
        <f t="shared" si="2"/>
        <v>0.24903916183880642</v>
      </c>
      <c r="W58" s="82">
        <f t="shared" si="2"/>
        <v>0.2642043981206277</v>
      </c>
      <c r="X58" s="82">
        <f t="shared" si="2"/>
        <v>0.2171106164908208</v>
      </c>
      <c r="Y58" s="82">
        <f t="shared" si="2"/>
        <v>0.19221343190073867</v>
      </c>
      <c r="Z58" s="82">
        <f t="shared" si="2"/>
        <v>0.13966172441886657</v>
      </c>
      <c r="AA58" s="82">
        <f t="shared" si="2"/>
        <v>0.16185823659478635</v>
      </c>
      <c r="AB58" s="82">
        <f t="shared" si="2"/>
        <v>0.1615337772377162</v>
      </c>
      <c r="AC58" s="82">
        <f t="shared" si="2"/>
        <v>0.15633411074419543</v>
      </c>
      <c r="AD58" s="82">
        <f aca="true" t="shared" si="3" ref="AD58:AI58">AD55/AD3</f>
        <v>0.11138019106232812</v>
      </c>
      <c r="AE58" s="82">
        <f t="shared" si="3"/>
        <v>0.12625364466359332</v>
      </c>
      <c r="AF58" s="82">
        <f t="shared" si="3"/>
        <v>0.13043562065160164</v>
      </c>
      <c r="AG58" s="82">
        <f t="shared" si="3"/>
        <v>0.13798432587111237</v>
      </c>
      <c r="AH58" s="82">
        <f t="shared" si="3"/>
        <v>0.1774819368503417</v>
      </c>
      <c r="AI58" s="82">
        <f t="shared" si="3"/>
        <v>0.19511334793360066</v>
      </c>
      <c r="AJ58" s="82"/>
      <c r="AK58" s="82">
        <v>0.47747820630073634</v>
      </c>
      <c r="AL58" s="82">
        <v>0.4475414866122196</v>
      </c>
      <c r="AM58" s="82">
        <v>0.4321839145979025</v>
      </c>
      <c r="AN58" s="82">
        <v>0.3879035387041303</v>
      </c>
      <c r="AO58" s="82">
        <f aca="true" t="shared" si="4" ref="AO58:AP60">Q58</f>
        <v>0.23024823714412054</v>
      </c>
      <c r="AP58" s="82">
        <f t="shared" si="4"/>
        <v>0.22825816728936835</v>
      </c>
      <c r="AQ58" s="82">
        <f>Y58</f>
        <v>0.19221343190073867</v>
      </c>
      <c r="AR58" s="82">
        <f>AC58</f>
        <v>0.15633411074419543</v>
      </c>
      <c r="AS58" s="82">
        <f>AS55/AS3</f>
        <v>0.13798432587111237</v>
      </c>
    </row>
    <row r="59" spans="1:45" s="84" customFormat="1" ht="12" thickBot="1">
      <c r="A59" s="82" t="s">
        <v>94</v>
      </c>
      <c r="B59" s="82">
        <v>0.34634328571073664</v>
      </c>
      <c r="C59" s="82">
        <v>0.36260284777447543</v>
      </c>
      <c r="D59" s="82">
        <v>0.39114564323060824</v>
      </c>
      <c r="E59" s="82">
        <v>0.37106916158378994</v>
      </c>
      <c r="F59" s="82">
        <v>0.3657630190507643</v>
      </c>
      <c r="G59" s="82">
        <v>0.3835119707825736</v>
      </c>
      <c r="H59" s="82">
        <v>0.3933817648975567</v>
      </c>
      <c r="I59" s="82">
        <v>0.3884372723573502</v>
      </c>
      <c r="J59" s="82">
        <v>0.32993039443155453</v>
      </c>
      <c r="K59" s="82">
        <v>0.35177618661720955</v>
      </c>
      <c r="L59" s="83">
        <v>0.3921652816054794</v>
      </c>
      <c r="M59" s="83">
        <v>0.3471610981803815</v>
      </c>
      <c r="N59" s="83">
        <v>0.07661718700466859</v>
      </c>
      <c r="O59" s="82">
        <f aca="true" t="shared" si="5" ref="O59:V59">O17/O3</f>
        <v>0.07909526532704936</v>
      </c>
      <c r="P59" s="82">
        <f t="shared" si="5"/>
        <v>0.125896954475854</v>
      </c>
      <c r="Q59" s="82">
        <f t="shared" si="5"/>
        <v>0.1452664907136034</v>
      </c>
      <c r="R59" s="82">
        <f t="shared" si="5"/>
        <v>0.15579913776140805</v>
      </c>
      <c r="S59" s="82">
        <f t="shared" si="5"/>
        <v>0.23127936575166982</v>
      </c>
      <c r="T59" s="82">
        <f t="shared" si="5"/>
        <v>0.24002060271148512</v>
      </c>
      <c r="U59" s="82">
        <f t="shared" si="5"/>
        <v>0.21490170700876138</v>
      </c>
      <c r="V59" s="82">
        <f t="shared" si="5"/>
        <v>0.1964531442490879</v>
      </c>
      <c r="W59" s="82">
        <f aca="true" t="shared" si="6" ref="W59:AC59">W17/W3</f>
        <v>0.21578069870786132</v>
      </c>
      <c r="X59" s="82">
        <f t="shared" si="6"/>
        <v>0.1640867783108862</v>
      </c>
      <c r="Y59" s="82">
        <f t="shared" si="6"/>
        <v>0.14201910277786967</v>
      </c>
      <c r="Z59" s="82">
        <f t="shared" si="6"/>
        <v>0.08243144501527143</v>
      </c>
      <c r="AA59" s="82">
        <f t="shared" si="6"/>
        <v>0.10706411289078269</v>
      </c>
      <c r="AB59" s="82">
        <f t="shared" si="6"/>
        <v>0.10068907741627721</v>
      </c>
      <c r="AC59" s="82">
        <f t="shared" si="6"/>
        <v>0.09318195428455607</v>
      </c>
      <c r="AD59" s="82">
        <f aca="true" t="shared" si="7" ref="AD59:AI59">AD17/AD3</f>
        <v>0.038809491627979614</v>
      </c>
      <c r="AE59" s="82">
        <f t="shared" si="7"/>
        <v>0.05115668816877466</v>
      </c>
      <c r="AF59" s="82">
        <f t="shared" si="7"/>
        <v>0.05233266009691035</v>
      </c>
      <c r="AG59" s="82">
        <f t="shared" si="7"/>
        <v>0.05901456738117312</v>
      </c>
      <c r="AH59" s="82">
        <f t="shared" si="7"/>
        <v>0.10195998300117255</v>
      </c>
      <c r="AI59" s="82">
        <f t="shared" si="7"/>
        <v>0.11956733900487677</v>
      </c>
      <c r="AJ59" s="82"/>
      <c r="AK59" s="82">
        <v>0.4214135635812008</v>
      </c>
      <c r="AL59" s="82">
        <v>0.37106916158378994</v>
      </c>
      <c r="AM59" s="82">
        <v>0.3884372723573502</v>
      </c>
      <c r="AN59" s="82">
        <v>0.3471610981803815</v>
      </c>
      <c r="AO59" s="82">
        <f t="shared" si="4"/>
        <v>0.1452664907136034</v>
      </c>
      <c r="AP59" s="82">
        <f t="shared" si="4"/>
        <v>0.15579913776140805</v>
      </c>
      <c r="AQ59" s="82">
        <f>Y59</f>
        <v>0.14201910277786967</v>
      </c>
      <c r="AR59" s="82">
        <f>AC59</f>
        <v>0.09318195428455607</v>
      </c>
      <c r="AS59" s="82">
        <f>AS17/AS3</f>
        <v>0.05901456738117312</v>
      </c>
    </row>
    <row r="60" spans="1:45" s="88" customFormat="1" ht="12" thickBot="1">
      <c r="A60" s="85" t="s">
        <v>31</v>
      </c>
      <c r="B60" s="86">
        <v>0.09108665133811945</v>
      </c>
      <c r="C60" s="86">
        <v>0.15747525702028944</v>
      </c>
      <c r="D60" s="86">
        <v>0.28110380810456304</v>
      </c>
      <c r="E60" s="86">
        <v>0.3447162801055413</v>
      </c>
      <c r="F60" s="86">
        <v>0.0761888347821098</v>
      </c>
      <c r="G60" s="86">
        <v>0.17769725013797408</v>
      </c>
      <c r="H60" s="86">
        <v>0.27655083540600073</v>
      </c>
      <c r="I60" s="86">
        <v>0.3749704307891386</v>
      </c>
      <c r="J60" s="86">
        <v>0.10307034511843405</v>
      </c>
      <c r="K60" s="86">
        <v>0.25542432127102194</v>
      </c>
      <c r="L60" s="87">
        <v>0.4604145462036577</v>
      </c>
      <c r="M60" s="87">
        <v>0.380219355740631</v>
      </c>
      <c r="N60" s="87">
        <v>-0.0323</v>
      </c>
      <c r="O60" s="86">
        <f aca="true" t="shared" si="8" ref="O60:V60">O53/5993227240*1000</f>
        <v>-0.04053258624647111</v>
      </c>
      <c r="P60" s="86">
        <f t="shared" si="8"/>
        <v>-0.013202069074223857</v>
      </c>
      <c r="Q60" s="86">
        <f t="shared" si="8"/>
        <v>0.035883004496255345</v>
      </c>
      <c r="R60" s="86">
        <f t="shared" si="8"/>
        <v>0.021949943616688228</v>
      </c>
      <c r="S60" s="86">
        <f t="shared" si="8"/>
        <v>0.09845530235559699</v>
      </c>
      <c r="T60" s="86">
        <f t="shared" si="8"/>
        <v>0.18462440279504572</v>
      </c>
      <c r="U60" s="86">
        <f t="shared" si="8"/>
        <v>0.20941021418703956</v>
      </c>
      <c r="V60" s="86">
        <f t="shared" si="8"/>
        <v>0.06546973513388757</v>
      </c>
      <c r="W60" s="86">
        <f>W53/5993227240*1000</f>
        <v>0.16341863252960856</v>
      </c>
      <c r="X60" s="86">
        <f>X53/5993227240*1000</f>
        <v>0.2009206312023637</v>
      </c>
      <c r="Y60" s="86">
        <f>Y53/5993227240*1000</f>
        <v>0.22652136247048094</v>
      </c>
      <c r="Z60" s="86">
        <f>Z53/5993227240*1000</f>
        <v>0.028849898906886766</v>
      </c>
      <c r="AA60" s="86">
        <v>0.0752</v>
      </c>
      <c r="AB60" s="86">
        <v>0.103</v>
      </c>
      <c r="AC60" s="86">
        <v>0.0994</v>
      </c>
      <c r="AD60" s="86">
        <f aca="true" t="shared" si="9" ref="AD60:AI60">AD53/5993227240*1000</f>
        <v>0.006323471225496199</v>
      </c>
      <c r="AE60" s="86">
        <f t="shared" si="9"/>
        <v>0.011946318257740549</v>
      </c>
      <c r="AF60" s="86">
        <f t="shared" si="9"/>
        <v>0.03491808196480132</v>
      </c>
      <c r="AG60" s="86">
        <f t="shared" si="9"/>
        <v>0.03149221486886254</v>
      </c>
      <c r="AH60" s="86">
        <f t="shared" si="9"/>
        <v>0.029013583673159704</v>
      </c>
      <c r="AI60" s="86">
        <f t="shared" si="9"/>
        <v>0.05544425176843453</v>
      </c>
      <c r="AJ60" s="86"/>
      <c r="AK60" s="86">
        <v>0.23049267859898467</v>
      </c>
      <c r="AL60" s="86">
        <v>0.3447162801055413</v>
      </c>
      <c r="AM60" s="86">
        <v>0.3749704307891386</v>
      </c>
      <c r="AN60" s="86">
        <v>0.380219355740631</v>
      </c>
      <c r="AO60" s="86">
        <f t="shared" si="4"/>
        <v>0.035883004496255345</v>
      </c>
      <c r="AP60" s="86">
        <f t="shared" si="4"/>
        <v>0.021949943616688228</v>
      </c>
      <c r="AQ60" s="86">
        <f>Y60</f>
        <v>0.22652136247048094</v>
      </c>
      <c r="AR60" s="86">
        <f>AC60</f>
        <v>0.0994</v>
      </c>
      <c r="AS60" s="86">
        <f>AS53/5993227240*1000</f>
        <v>0.03149221486886254</v>
      </c>
    </row>
    <row r="61" spans="1:45" s="88" customFormat="1" ht="12" thickBot="1">
      <c r="A61" s="85" t="s">
        <v>95</v>
      </c>
      <c r="B61" s="89"/>
      <c r="C61" s="89"/>
      <c r="D61" s="89"/>
      <c r="E61" s="89"/>
      <c r="F61" s="89"/>
      <c r="G61" s="89"/>
      <c r="H61" s="89"/>
      <c r="I61" s="89"/>
      <c r="J61" s="89"/>
      <c r="K61" s="90"/>
      <c r="L61" s="91"/>
      <c r="M61" s="90"/>
      <c r="N61" s="90"/>
      <c r="O61" s="90"/>
      <c r="P61" s="89"/>
      <c r="Q61" s="89"/>
      <c r="R61" s="89"/>
      <c r="S61" s="89"/>
      <c r="T61" s="89"/>
      <c r="U61" s="89"/>
      <c r="V61" s="89"/>
      <c r="W61" s="89"/>
      <c r="X61" s="89"/>
      <c r="Y61" s="89"/>
      <c r="Z61" s="89"/>
      <c r="AA61" s="89"/>
      <c r="AB61" s="89"/>
      <c r="AC61" s="89"/>
      <c r="AD61" s="89"/>
      <c r="AE61" s="89"/>
      <c r="AF61" s="89"/>
      <c r="AG61" s="89"/>
      <c r="AH61" s="89"/>
      <c r="AI61" s="89"/>
      <c r="AJ61" s="89"/>
      <c r="AK61" s="89">
        <v>0.1101</v>
      </c>
      <c r="AL61" s="89">
        <v>0.114</v>
      </c>
      <c r="AM61" s="89">
        <v>0.1231</v>
      </c>
      <c r="AN61" s="89">
        <v>0.0786</v>
      </c>
      <c r="AO61" s="89">
        <v>0.007124708990677284</v>
      </c>
      <c r="AP61" s="89">
        <v>0.06318799285174442</v>
      </c>
      <c r="AQ61" s="89">
        <v>0.06270411331841974</v>
      </c>
      <c r="AR61" s="89">
        <v>0.019355181332987467</v>
      </c>
      <c r="AS61" s="89"/>
    </row>
    <row r="62" spans="1:45" ht="12.7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321"/>
      <c r="AO62" s="321"/>
      <c r="AP62" s="321"/>
      <c r="AQ62" s="321"/>
      <c r="AR62" s="321"/>
      <c r="AS62" s="321"/>
    </row>
    <row r="63" spans="2:45" ht="12.75">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P63" s="92"/>
      <c r="AQ63" s="92"/>
      <c r="AR63" s="92"/>
      <c r="AS63" s="92"/>
    </row>
    <row r="64" spans="1:45" ht="12.75">
      <c r="A64" s="93"/>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P64" s="94"/>
      <c r="AQ64" s="94"/>
      <c r="AR64" s="94"/>
      <c r="AS64" s="94"/>
    </row>
    <row r="65" ht="12.75">
      <c r="A65" s="1"/>
    </row>
    <row r="66" ht="12.75">
      <c r="A66" s="1"/>
    </row>
    <row r="67" ht="12.75">
      <c r="A67" s="1"/>
    </row>
    <row r="68" ht="12.75">
      <c r="A68" s="1"/>
    </row>
    <row r="69" ht="12.75">
      <c r="A69" s="1"/>
    </row>
    <row r="70" ht="12.75">
      <c r="A70" s="1"/>
    </row>
    <row r="71" ht="12.75">
      <c r="A71" s="1"/>
    </row>
    <row r="72" ht="12.75">
      <c r="A72" s="1"/>
    </row>
    <row r="73" ht="12.75">
      <c r="A73" s="1"/>
    </row>
    <row r="74" ht="12.75">
      <c r="A74" s="1"/>
    </row>
    <row r="75" ht="12.75">
      <c r="A75" s="1"/>
    </row>
    <row r="76" ht="12.75">
      <c r="A76" s="1"/>
    </row>
    <row r="77" ht="12.75">
      <c r="A77" s="1"/>
    </row>
    <row r="78" ht="12.75">
      <c r="A78" s="1"/>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sheetData>
  <sheetProtection/>
  <printOptions/>
  <pageMargins left="0.25" right="0.25" top="0.75" bottom="0.75" header="0.3" footer="0.3"/>
  <pageSetup fitToHeight="1" fitToWidth="1" horizontalDpi="600" verticalDpi="600" orientation="landscape" paperSize="9" scale="56" r:id="rId1"/>
  <headerFooter alignWithMargins="0">
    <oddFooter>&amp;CPage &amp;P of &amp;N&amp;R&amp;F&amp;A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S151"/>
  <sheetViews>
    <sheetView showGridLines="0" view="pageBreakPreview" zoomScale="85" zoomScaleNormal="85" zoomScaleSheetLayoutView="85" zoomScalePageLayoutView="0" workbookViewId="0" topLeftCell="A1">
      <pane xSplit="1" ySplit="1" topLeftCell="M2" activePane="bottomRight" state="frozen"/>
      <selection pane="topLeft" activeCell="A1" sqref="A1"/>
      <selection pane="topRight" activeCell="B1" sqref="B1"/>
      <selection pane="bottomLeft" activeCell="A2" sqref="A2"/>
      <selection pane="bottomRight" activeCell="AI75" sqref="AI75"/>
    </sheetView>
  </sheetViews>
  <sheetFormatPr defaultColWidth="9.140625" defaultRowHeight="12.75" outlineLevelCol="1"/>
  <cols>
    <col min="1" max="1" width="59.8515625" style="88" customWidth="1"/>
    <col min="2" max="3" width="7.7109375" style="111" hidden="1" customWidth="1" outlineLevel="1"/>
    <col min="4" max="5" width="8.57421875" style="111" hidden="1" customWidth="1" outlineLevel="1"/>
    <col min="6" max="6" width="7.7109375" style="111" hidden="1" customWidth="1" outlineLevel="1"/>
    <col min="7" max="8" width="8.7109375" style="111" hidden="1" customWidth="1" outlineLevel="1"/>
    <col min="9" max="9" width="9.8515625" style="111" hidden="1" customWidth="1" outlineLevel="1"/>
    <col min="10" max="10" width="7.7109375" style="111" hidden="1" customWidth="1" outlineLevel="1"/>
    <col min="11" max="12" width="8.57421875" style="111" hidden="1" customWidth="1" outlineLevel="1"/>
    <col min="13" max="13" width="8.57421875" style="111" customWidth="1" collapsed="1"/>
    <col min="14" max="15" width="8.57421875" style="111" hidden="1" customWidth="1" outlineLevel="1"/>
    <col min="16" max="16" width="8.8515625" style="111" hidden="1" customWidth="1" outlineLevel="1"/>
    <col min="17" max="17" width="8.421875" style="111" customWidth="1" collapsed="1"/>
    <col min="18" max="20" width="8.421875" style="111" hidden="1" customWidth="1" outlineLevel="1"/>
    <col min="21" max="21" width="8.421875" style="111" customWidth="1" collapsed="1"/>
    <col min="22" max="24" width="8.421875" style="111" hidden="1" customWidth="1" outlineLevel="1"/>
    <col min="25" max="25" width="8.421875" style="111" customWidth="1" collapsed="1"/>
    <col min="26" max="35" width="8.421875" style="111" customWidth="1"/>
    <col min="36" max="36" width="7.7109375" style="111" customWidth="1"/>
    <col min="37" max="39" width="8.57421875" style="111" customWidth="1"/>
    <col min="40" max="44" width="9.28125" style="88" bestFit="1" customWidth="1"/>
    <col min="45" max="16384" width="9.140625" style="88" customWidth="1"/>
  </cols>
  <sheetData>
    <row r="1" spans="1:44" ht="12" thickBot="1">
      <c r="A1" s="54" t="s">
        <v>146</v>
      </c>
      <c r="B1" s="95" t="s">
        <v>6</v>
      </c>
      <c r="C1" s="95" t="s">
        <v>20</v>
      </c>
      <c r="D1" s="95" t="s">
        <v>21</v>
      </c>
      <c r="E1" s="95" t="s">
        <v>22</v>
      </c>
      <c r="F1" s="95" t="s">
        <v>0</v>
      </c>
      <c r="G1" s="95" t="s">
        <v>19</v>
      </c>
      <c r="H1" s="95" t="s">
        <v>18</v>
      </c>
      <c r="I1" s="95" t="s">
        <v>136</v>
      </c>
      <c r="J1" s="96" t="s">
        <v>160</v>
      </c>
      <c r="K1" s="96" t="s">
        <v>163</v>
      </c>
      <c r="L1" s="56" t="s">
        <v>164</v>
      </c>
      <c r="M1" s="95" t="s">
        <v>165</v>
      </c>
      <c r="N1" s="95" t="s">
        <v>172</v>
      </c>
      <c r="O1" s="95" t="s">
        <v>181</v>
      </c>
      <c r="P1" s="96" t="s">
        <v>183</v>
      </c>
      <c r="Q1" s="96" t="s">
        <v>185</v>
      </c>
      <c r="R1" s="96" t="s">
        <v>187</v>
      </c>
      <c r="S1" s="96" t="s">
        <v>202</v>
      </c>
      <c r="T1" s="56" t="s">
        <v>205</v>
      </c>
      <c r="U1" s="56" t="s">
        <v>206</v>
      </c>
      <c r="V1" s="56" t="s">
        <v>210</v>
      </c>
      <c r="W1" s="96" t="s">
        <v>211</v>
      </c>
      <c r="X1" s="56" t="s">
        <v>213</v>
      </c>
      <c r="Y1" s="56" t="s">
        <v>218</v>
      </c>
      <c r="Z1" s="56" t="s">
        <v>225</v>
      </c>
      <c r="AA1" s="96" t="s">
        <v>231</v>
      </c>
      <c r="AB1" s="56" t="s">
        <v>241</v>
      </c>
      <c r="AC1" s="56" t="s">
        <v>244</v>
      </c>
      <c r="AD1" s="56" t="s">
        <v>245</v>
      </c>
      <c r="AE1" s="96" t="s">
        <v>247</v>
      </c>
      <c r="AF1" s="56" t="s">
        <v>252</v>
      </c>
      <c r="AG1" s="56" t="s">
        <v>259</v>
      </c>
      <c r="AH1" s="56" t="s">
        <v>266</v>
      </c>
      <c r="AI1" s="96" t="s">
        <v>269</v>
      </c>
      <c r="AJ1" s="96"/>
      <c r="AK1" s="95">
        <v>2006</v>
      </c>
      <c r="AL1" s="95">
        <v>2007</v>
      </c>
      <c r="AM1" s="95">
        <v>2008</v>
      </c>
      <c r="AN1" s="95">
        <v>2009</v>
      </c>
      <c r="AO1" s="95">
        <v>2010</v>
      </c>
      <c r="AP1" s="95">
        <v>2011</v>
      </c>
      <c r="AQ1" s="95">
        <v>2012</v>
      </c>
      <c r="AR1" s="95">
        <v>2013</v>
      </c>
    </row>
    <row r="2" spans="1:44" s="101" customFormat="1" ht="11.25">
      <c r="A2" s="97" t="s">
        <v>32</v>
      </c>
      <c r="B2" s="98"/>
      <c r="C2" s="97"/>
      <c r="D2" s="97"/>
      <c r="E2" s="97"/>
      <c r="F2" s="97"/>
      <c r="G2" s="97"/>
      <c r="H2" s="97"/>
      <c r="I2" s="97"/>
      <c r="J2" s="99"/>
      <c r="K2" s="99"/>
      <c r="L2" s="100"/>
      <c r="M2" s="100"/>
      <c r="N2" s="100"/>
      <c r="O2" s="100"/>
      <c r="P2" s="99"/>
      <c r="Q2" s="99"/>
      <c r="R2" s="99"/>
      <c r="S2" s="99"/>
      <c r="T2" s="99"/>
      <c r="U2" s="99"/>
      <c r="V2" s="99"/>
      <c r="W2" s="99"/>
      <c r="X2" s="99"/>
      <c r="Y2" s="99"/>
      <c r="Z2" s="99"/>
      <c r="AA2" s="99"/>
      <c r="AB2" s="99"/>
      <c r="AC2" s="99"/>
      <c r="AD2" s="99"/>
      <c r="AE2" s="99"/>
      <c r="AF2" s="99"/>
      <c r="AG2" s="99"/>
      <c r="AH2" s="99"/>
      <c r="AI2" s="99"/>
      <c r="AJ2" s="99"/>
      <c r="AK2" s="97"/>
      <c r="AL2" s="97"/>
      <c r="AM2" s="97"/>
      <c r="AN2" s="97"/>
      <c r="AO2" s="97"/>
      <c r="AP2" s="97"/>
      <c r="AQ2" s="97"/>
      <c r="AR2" s="97"/>
    </row>
    <row r="3" spans="1:44" s="101" customFormat="1" ht="11.25">
      <c r="A3" s="102" t="s">
        <v>8</v>
      </c>
      <c r="B3" s="103">
        <v>545903</v>
      </c>
      <c r="C3" s="103">
        <v>943785</v>
      </c>
      <c r="D3" s="103">
        <v>1684719</v>
      </c>
      <c r="E3" s="103">
        <v>2065963</v>
      </c>
      <c r="F3" s="103">
        <v>456617</v>
      </c>
      <c r="G3" s="103">
        <v>1064980</v>
      </c>
      <c r="H3" s="103">
        <v>1657432</v>
      </c>
      <c r="I3" s="103">
        <v>2247283</v>
      </c>
      <c r="J3" s="104">
        <v>617724</v>
      </c>
      <c r="K3" s="104">
        <v>1530816</v>
      </c>
      <c r="L3" s="105">
        <v>2759369</v>
      </c>
      <c r="M3" s="105">
        <v>2278741</v>
      </c>
      <c r="N3" s="105">
        <v>-251672</v>
      </c>
      <c r="O3" s="105">
        <v>-320191</v>
      </c>
      <c r="P3" s="104">
        <v>-175143</v>
      </c>
      <c r="Q3" s="104">
        <v>98096</v>
      </c>
      <c r="R3" s="104">
        <v>107940</v>
      </c>
      <c r="S3" s="104">
        <v>560475</v>
      </c>
      <c r="T3" s="104">
        <v>1081760</v>
      </c>
      <c r="U3" s="104">
        <v>1223978</v>
      </c>
      <c r="V3" s="104">
        <v>380901</v>
      </c>
      <c r="W3" s="104">
        <v>971794</v>
      </c>
      <c r="X3" s="104">
        <v>1191854</v>
      </c>
      <c r="Y3" s="104">
        <v>1315402</v>
      </c>
      <c r="Z3" s="104">
        <v>173628</v>
      </c>
      <c r="AA3" s="104">
        <v>449243</v>
      </c>
      <c r="AB3" s="104">
        <v>615692</v>
      </c>
      <c r="AC3" s="104">
        <v>610433</v>
      </c>
      <c r="AD3" s="104">
        <v>35404</v>
      </c>
      <c r="AE3" s="104">
        <v>68448</v>
      </c>
      <c r="AF3" s="104">
        <v>206821</v>
      </c>
      <c r="AG3" s="104">
        <v>207586</v>
      </c>
      <c r="AH3" s="104">
        <v>172873</v>
      </c>
      <c r="AI3" s="104">
        <v>331399</v>
      </c>
      <c r="AJ3" s="104"/>
      <c r="AK3" s="103">
        <v>2065963</v>
      </c>
      <c r="AL3" s="103">
        <v>2247283</v>
      </c>
      <c r="AM3" s="103">
        <v>2278741</v>
      </c>
      <c r="AN3" s="103">
        <f>Q3</f>
        <v>98096</v>
      </c>
      <c r="AO3" s="103">
        <f>U3</f>
        <v>1223978</v>
      </c>
      <c r="AP3" s="103">
        <f>Y3</f>
        <v>1315402</v>
      </c>
      <c r="AQ3" s="103">
        <f>AC3</f>
        <v>610433</v>
      </c>
      <c r="AR3" s="104">
        <f>AG3</f>
        <v>207586</v>
      </c>
    </row>
    <row r="4" spans="1:44" s="101" customFormat="1" ht="11.25">
      <c r="A4" s="106" t="s">
        <v>33</v>
      </c>
      <c r="B4" s="103"/>
      <c r="C4" s="103"/>
      <c r="D4" s="103"/>
      <c r="E4" s="103"/>
      <c r="F4" s="103"/>
      <c r="G4" s="103"/>
      <c r="H4" s="103"/>
      <c r="I4" s="103"/>
      <c r="J4" s="104"/>
      <c r="K4" s="104"/>
      <c r="L4" s="105"/>
      <c r="M4" s="105"/>
      <c r="N4" s="105"/>
      <c r="O4" s="105"/>
      <c r="P4" s="104"/>
      <c r="Q4" s="104"/>
      <c r="R4" s="104"/>
      <c r="S4" s="104"/>
      <c r="T4" s="104"/>
      <c r="U4" s="104"/>
      <c r="V4" s="104"/>
      <c r="W4" s="104"/>
      <c r="X4" s="104"/>
      <c r="Y4" s="104"/>
      <c r="Z4" s="104"/>
      <c r="AA4" s="104"/>
      <c r="AB4" s="104"/>
      <c r="AC4" s="104"/>
      <c r="AD4" s="104"/>
      <c r="AE4" s="104"/>
      <c r="AF4" s="104"/>
      <c r="AG4" s="104"/>
      <c r="AH4" s="104"/>
      <c r="AI4" s="104"/>
      <c r="AJ4" s="104"/>
      <c r="AK4" s="103"/>
      <c r="AL4" s="103"/>
      <c r="AM4" s="103"/>
      <c r="AN4" s="103"/>
      <c r="AO4" s="103"/>
      <c r="AP4" s="103"/>
      <c r="AQ4" s="103"/>
      <c r="AR4" s="104"/>
    </row>
    <row r="5" spans="1:44" s="101" customFormat="1" ht="11.25">
      <c r="A5" s="98" t="s">
        <v>7</v>
      </c>
      <c r="B5" s="107">
        <v>4819</v>
      </c>
      <c r="C5" s="107">
        <v>11900</v>
      </c>
      <c r="D5" s="107">
        <v>15807</v>
      </c>
      <c r="E5" s="107">
        <v>25773</v>
      </c>
      <c r="F5" s="107">
        <v>6838</v>
      </c>
      <c r="G5" s="107">
        <v>13148</v>
      </c>
      <c r="H5" s="107">
        <v>19518</v>
      </c>
      <c r="I5" s="107">
        <v>24592</v>
      </c>
      <c r="J5" s="108">
        <v>9094</v>
      </c>
      <c r="K5" s="108">
        <v>27422</v>
      </c>
      <c r="L5" s="109">
        <v>101370</v>
      </c>
      <c r="M5" s="109">
        <v>-1730</v>
      </c>
      <c r="N5" s="109"/>
      <c r="O5" s="109"/>
      <c r="P5" s="108"/>
      <c r="Q5" s="108"/>
      <c r="R5" s="108"/>
      <c r="S5" s="108"/>
      <c r="T5" s="108"/>
      <c r="U5" s="108"/>
      <c r="V5" s="108"/>
      <c r="W5" s="108"/>
      <c r="X5" s="108"/>
      <c r="Y5" s="108"/>
      <c r="Z5" s="108"/>
      <c r="AA5" s="108"/>
      <c r="AB5" s="108"/>
      <c r="AC5" s="108"/>
      <c r="AD5" s="108"/>
      <c r="AE5" s="108"/>
      <c r="AF5" s="108"/>
      <c r="AG5" s="108"/>
      <c r="AH5" s="108"/>
      <c r="AI5" s="108"/>
      <c r="AJ5" s="108"/>
      <c r="AK5" s="107">
        <v>25773</v>
      </c>
      <c r="AL5" s="107">
        <v>24592</v>
      </c>
      <c r="AM5" s="107">
        <v>-1730</v>
      </c>
      <c r="AN5" s="107"/>
      <c r="AO5" s="107"/>
      <c r="AP5" s="107"/>
      <c r="AQ5" s="107"/>
      <c r="AR5" s="108"/>
    </row>
    <row r="6" spans="1:44" s="101" customFormat="1" ht="11.25">
      <c r="A6" s="98" t="s">
        <v>34</v>
      </c>
      <c r="B6" s="107">
        <v>73701</v>
      </c>
      <c r="C6" s="107">
        <v>158305</v>
      </c>
      <c r="D6" s="107">
        <v>250018</v>
      </c>
      <c r="E6" s="107">
        <v>357941</v>
      </c>
      <c r="F6" s="107">
        <v>102342</v>
      </c>
      <c r="G6" s="107">
        <v>197752</v>
      </c>
      <c r="H6" s="107">
        <v>297161</v>
      </c>
      <c r="I6" s="107">
        <v>407699</v>
      </c>
      <c r="J6" s="108">
        <v>119354</v>
      </c>
      <c r="K6" s="108">
        <v>245884</v>
      </c>
      <c r="L6" s="109">
        <v>379690</v>
      </c>
      <c r="M6" s="109">
        <v>498994</v>
      </c>
      <c r="N6" s="109">
        <v>96625</v>
      </c>
      <c r="O6" s="109">
        <v>222745</v>
      </c>
      <c r="P6" s="108">
        <v>348684</v>
      </c>
      <c r="Q6" s="108">
        <v>478116</v>
      </c>
      <c r="R6" s="108">
        <v>122995</v>
      </c>
      <c r="S6" s="108">
        <v>245892</v>
      </c>
      <c r="T6" s="108">
        <v>357160</v>
      </c>
      <c r="U6" s="108">
        <v>469418</v>
      </c>
      <c r="V6" s="108">
        <v>124044</v>
      </c>
      <c r="W6" s="108">
        <v>258638</v>
      </c>
      <c r="X6" s="108">
        <v>459988</v>
      </c>
      <c r="Y6" s="108">
        <v>588707</v>
      </c>
      <c r="Z6" s="108">
        <v>177090</v>
      </c>
      <c r="AA6" s="108">
        <v>348024</v>
      </c>
      <c r="AB6" s="108">
        <v>569121</v>
      </c>
      <c r="AC6" s="108">
        <v>767715</v>
      </c>
      <c r="AD6" s="108">
        <v>207249</v>
      </c>
      <c r="AE6" s="108">
        <v>426928</v>
      </c>
      <c r="AF6" s="108">
        <v>656430</v>
      </c>
      <c r="AG6" s="108">
        <v>861516</v>
      </c>
      <c r="AH6" s="108">
        <v>199214</v>
      </c>
      <c r="AI6" s="108">
        <v>411425</v>
      </c>
      <c r="AJ6" s="108"/>
      <c r="AK6" s="107">
        <v>357941</v>
      </c>
      <c r="AL6" s="107">
        <v>407699</v>
      </c>
      <c r="AM6" s="107">
        <v>498994</v>
      </c>
      <c r="AN6" s="107">
        <f>Q6</f>
        <v>478116</v>
      </c>
      <c r="AO6" s="107">
        <f>U6</f>
        <v>469418</v>
      </c>
      <c r="AP6" s="107">
        <f>Y6</f>
        <v>588707</v>
      </c>
      <c r="AQ6" s="107">
        <f>AC6</f>
        <v>767715</v>
      </c>
      <c r="AR6" s="108">
        <f>AG6</f>
        <v>861516</v>
      </c>
    </row>
    <row r="7" spans="1:45" s="101" customFormat="1" ht="11.25">
      <c r="A7" s="98" t="s">
        <v>35</v>
      </c>
      <c r="B7" s="107">
        <v>1492</v>
      </c>
      <c r="C7" s="107">
        <v>2719</v>
      </c>
      <c r="D7" s="107">
        <v>4763</v>
      </c>
      <c r="E7" s="107">
        <v>3582</v>
      </c>
      <c r="F7" s="107">
        <v>12609</v>
      </c>
      <c r="G7" s="107">
        <v>19791</v>
      </c>
      <c r="H7" s="107">
        <v>24575</v>
      </c>
      <c r="I7" s="107">
        <v>27285</v>
      </c>
      <c r="J7" s="108">
        <v>-6097</v>
      </c>
      <c r="K7" s="108">
        <v>580</v>
      </c>
      <c r="L7" s="109">
        <v>18556</v>
      </c>
      <c r="M7" s="109">
        <v>9594</v>
      </c>
      <c r="N7" s="109">
        <v>2104</v>
      </c>
      <c r="O7" s="109">
        <v>8059</v>
      </c>
      <c r="P7" s="108">
        <v>13132</v>
      </c>
      <c r="Q7" s="108">
        <v>4420</v>
      </c>
      <c r="R7" s="108">
        <v>1927</v>
      </c>
      <c r="S7" s="108">
        <v>13609</v>
      </c>
      <c r="T7" s="108">
        <v>17919</v>
      </c>
      <c r="U7" s="108">
        <v>9657</v>
      </c>
      <c r="V7" s="108">
        <v>5867</v>
      </c>
      <c r="W7" s="108">
        <v>22239</v>
      </c>
      <c r="X7" s="108">
        <v>23234</v>
      </c>
      <c r="Y7" s="108">
        <v>29293</v>
      </c>
      <c r="Z7" s="108">
        <v>116</v>
      </c>
      <c r="AA7" s="108">
        <v>37461</v>
      </c>
      <c r="AB7" s="108">
        <v>37566</v>
      </c>
      <c r="AC7" s="108">
        <v>38051</v>
      </c>
      <c r="AD7" s="108">
        <v>1517</v>
      </c>
      <c r="AE7" s="108">
        <v>5623</v>
      </c>
      <c r="AF7" s="108">
        <v>16888</v>
      </c>
      <c r="AG7" s="108">
        <v>22413</v>
      </c>
      <c r="AH7" s="108">
        <v>477</v>
      </c>
      <c r="AI7" s="108">
        <v>3794</v>
      </c>
      <c r="AJ7" s="108"/>
      <c r="AK7" s="107">
        <v>3582</v>
      </c>
      <c r="AL7" s="107">
        <v>27285</v>
      </c>
      <c r="AM7" s="107">
        <v>9594</v>
      </c>
      <c r="AN7" s="107">
        <f>Q7</f>
        <v>4420</v>
      </c>
      <c r="AO7" s="107">
        <f>U7</f>
        <v>9657</v>
      </c>
      <c r="AP7" s="107">
        <f>Y7</f>
        <v>29293</v>
      </c>
      <c r="AQ7" s="107">
        <f>AC7</f>
        <v>38051</v>
      </c>
      <c r="AR7" s="108">
        <f>AG7</f>
        <v>22413</v>
      </c>
      <c r="AS7" s="110"/>
    </row>
    <row r="8" spans="1:45" s="110" customFormat="1" ht="11.25">
      <c r="A8" s="98" t="s">
        <v>36</v>
      </c>
      <c r="B8" s="107">
        <v>-383759</v>
      </c>
      <c r="C8" s="107">
        <v>-390463</v>
      </c>
      <c r="D8" s="107">
        <v>-395341</v>
      </c>
      <c r="E8" s="107">
        <v>-400696</v>
      </c>
      <c r="F8" s="107">
        <v>1492</v>
      </c>
      <c r="G8" s="107">
        <v>3442</v>
      </c>
      <c r="H8" s="107">
        <v>3542</v>
      </c>
      <c r="I8" s="107">
        <v>23522</v>
      </c>
      <c r="J8" s="108">
        <v>-6421</v>
      </c>
      <c r="K8" s="108">
        <v>-3948</v>
      </c>
      <c r="L8" s="109">
        <v>-25243</v>
      </c>
      <c r="M8" s="109">
        <v>21319</v>
      </c>
      <c r="N8" s="109">
        <v>1472</v>
      </c>
      <c r="O8" s="109">
        <v>1580</v>
      </c>
      <c r="P8" s="108">
        <v>1862</v>
      </c>
      <c r="Q8" s="108">
        <v>10904</v>
      </c>
      <c r="R8" s="108">
        <v>1312</v>
      </c>
      <c r="S8" s="108">
        <v>7888</v>
      </c>
      <c r="T8" s="108">
        <v>10384</v>
      </c>
      <c r="U8" s="108">
        <v>27991</v>
      </c>
      <c r="V8" s="108">
        <v>3330</v>
      </c>
      <c r="W8" s="108">
        <v>13288</v>
      </c>
      <c r="X8" s="108">
        <v>-68981</v>
      </c>
      <c r="Y8" s="108">
        <v>-11922</v>
      </c>
      <c r="Z8" s="108">
        <v>-173</v>
      </c>
      <c r="AA8" s="108">
        <v>946</v>
      </c>
      <c r="AB8" s="108">
        <v>159</v>
      </c>
      <c r="AC8" s="108">
        <v>2828</v>
      </c>
      <c r="AD8" s="108">
        <v>735</v>
      </c>
      <c r="AE8" s="108">
        <v>3535</v>
      </c>
      <c r="AF8" s="108">
        <v>-22958</v>
      </c>
      <c r="AG8" s="108">
        <v>-21124</v>
      </c>
      <c r="AH8" s="108">
        <v>249</v>
      </c>
      <c r="AI8" s="108">
        <v>-3655</v>
      </c>
      <c r="AJ8" s="108"/>
      <c r="AK8" s="107">
        <v>-400696</v>
      </c>
      <c r="AL8" s="107">
        <v>23522</v>
      </c>
      <c r="AM8" s="107">
        <v>21319</v>
      </c>
      <c r="AN8" s="107">
        <f>Q8</f>
        <v>10904</v>
      </c>
      <c r="AO8" s="107">
        <f>U8</f>
        <v>27991</v>
      </c>
      <c r="AP8" s="107">
        <f>Y8</f>
        <v>-11922</v>
      </c>
      <c r="AQ8" s="107">
        <f>AC8</f>
        <v>2828</v>
      </c>
      <c r="AR8" s="108">
        <f>AG8</f>
        <v>-21124</v>
      </c>
      <c r="AS8" s="101"/>
    </row>
    <row r="9" spans="1:45" s="110" customFormat="1" ht="11.25">
      <c r="A9" s="98" t="s">
        <v>80</v>
      </c>
      <c r="B9" s="107"/>
      <c r="C9" s="107"/>
      <c r="D9" s="107"/>
      <c r="E9" s="107"/>
      <c r="F9" s="107"/>
      <c r="G9" s="107"/>
      <c r="H9" s="107"/>
      <c r="I9" s="107"/>
      <c r="J9" s="108"/>
      <c r="K9" s="108"/>
      <c r="L9" s="109"/>
      <c r="M9" s="109"/>
      <c r="N9" s="109"/>
      <c r="O9" s="109"/>
      <c r="P9" s="108"/>
      <c r="Q9" s="108"/>
      <c r="R9" s="108"/>
      <c r="S9" s="108"/>
      <c r="T9" s="108"/>
      <c r="U9" s="108"/>
      <c r="V9" s="108"/>
      <c r="W9" s="108"/>
      <c r="X9" s="108"/>
      <c r="Y9" s="108"/>
      <c r="Z9" s="108"/>
      <c r="AA9" s="108"/>
      <c r="AB9" s="108"/>
      <c r="AC9" s="108">
        <v>68462</v>
      </c>
      <c r="AD9" s="108">
        <v>-10040</v>
      </c>
      <c r="AE9" s="108">
        <v>-21964</v>
      </c>
      <c r="AF9" s="108">
        <v>-32063</v>
      </c>
      <c r="AG9" s="108">
        <v>-40241</v>
      </c>
      <c r="AH9" s="108">
        <v>-6927</v>
      </c>
      <c r="AI9" s="108">
        <v>-15585</v>
      </c>
      <c r="AJ9" s="108"/>
      <c r="AK9" s="107"/>
      <c r="AL9" s="107"/>
      <c r="AM9" s="107"/>
      <c r="AN9" s="107"/>
      <c r="AO9" s="107"/>
      <c r="AP9" s="107"/>
      <c r="AQ9" s="107">
        <f>AC9</f>
        <v>68462</v>
      </c>
      <c r="AR9" s="108">
        <f>AG9</f>
        <v>-40241</v>
      </c>
      <c r="AS9" s="101"/>
    </row>
    <row r="10" spans="1:45" s="110" customFormat="1" ht="11.25">
      <c r="A10" s="98" t="s">
        <v>81</v>
      </c>
      <c r="B10" s="107"/>
      <c r="C10" s="107"/>
      <c r="D10" s="107"/>
      <c r="E10" s="107"/>
      <c r="F10" s="107"/>
      <c r="G10" s="107"/>
      <c r="H10" s="107"/>
      <c r="I10" s="107"/>
      <c r="J10" s="108"/>
      <c r="K10" s="108"/>
      <c r="L10" s="109"/>
      <c r="M10" s="109"/>
      <c r="N10" s="109"/>
      <c r="O10" s="109"/>
      <c r="P10" s="108"/>
      <c r="Q10" s="108"/>
      <c r="R10" s="108"/>
      <c r="S10" s="108"/>
      <c r="T10" s="108"/>
      <c r="U10" s="108"/>
      <c r="V10" s="108"/>
      <c r="W10" s="108"/>
      <c r="X10" s="108"/>
      <c r="Y10" s="108"/>
      <c r="Z10" s="108"/>
      <c r="AA10" s="108"/>
      <c r="AB10" s="108"/>
      <c r="AC10" s="108"/>
      <c r="AD10" s="108">
        <v>30768</v>
      </c>
      <c r="AE10" s="108">
        <v>58041</v>
      </c>
      <c r="AF10" s="108">
        <v>80380</v>
      </c>
      <c r="AG10" s="108">
        <v>113869</v>
      </c>
      <c r="AH10" s="108">
        <v>32145</v>
      </c>
      <c r="AI10" s="108">
        <v>65264</v>
      </c>
      <c r="AJ10" s="108"/>
      <c r="AK10" s="107"/>
      <c r="AL10" s="107"/>
      <c r="AM10" s="107"/>
      <c r="AN10" s="107"/>
      <c r="AO10" s="107"/>
      <c r="AP10" s="107"/>
      <c r="AQ10" s="107"/>
      <c r="AR10" s="108">
        <f>AG10</f>
        <v>113869</v>
      </c>
      <c r="AS10" s="101"/>
    </row>
    <row r="11" spans="1:45" s="101" customFormat="1" ht="11.25">
      <c r="A11" s="98" t="s">
        <v>37</v>
      </c>
      <c r="B11" s="107"/>
      <c r="C11" s="107"/>
      <c r="D11" s="107">
        <v>-226706</v>
      </c>
      <c r="E11" s="107">
        <v>-227524</v>
      </c>
      <c r="F11" s="107"/>
      <c r="G11" s="107">
        <v>-81511</v>
      </c>
      <c r="H11" s="107">
        <v>-82116</v>
      </c>
      <c r="I11" s="107">
        <v>-83122</v>
      </c>
      <c r="J11" s="108"/>
      <c r="K11" s="108"/>
      <c r="L11" s="109"/>
      <c r="M11" s="109"/>
      <c r="N11" s="109"/>
      <c r="O11" s="109"/>
      <c r="P11" s="108"/>
      <c r="Q11" s="108"/>
      <c r="R11" s="108"/>
      <c r="S11" s="108"/>
      <c r="T11" s="108"/>
      <c r="U11" s="108"/>
      <c r="V11" s="108"/>
      <c r="W11" s="108"/>
      <c r="X11" s="108"/>
      <c r="Y11" s="108"/>
      <c r="Z11" s="108"/>
      <c r="AA11" s="108"/>
      <c r="AB11" s="108"/>
      <c r="AC11" s="108"/>
      <c r="AD11" s="108"/>
      <c r="AE11" s="108"/>
      <c r="AF11" s="108"/>
      <c r="AG11" s="108"/>
      <c r="AH11" s="108"/>
      <c r="AI11" s="108"/>
      <c r="AJ11" s="108"/>
      <c r="AK11" s="107">
        <v>-227524</v>
      </c>
      <c r="AL11" s="107">
        <v>-83122</v>
      </c>
      <c r="AM11" s="107"/>
      <c r="AN11" s="107"/>
      <c r="AO11" s="107"/>
      <c r="AP11" s="107"/>
      <c r="AQ11" s="107"/>
      <c r="AR11" s="108"/>
      <c r="AS11" s="88"/>
    </row>
    <row r="12" spans="1:44" ht="11.25">
      <c r="A12" s="98" t="s">
        <v>38</v>
      </c>
      <c r="B12" s="107"/>
      <c r="C12" s="107"/>
      <c r="F12" s="107"/>
      <c r="H12" s="107">
        <v>-1245</v>
      </c>
      <c r="I12" s="107">
        <v>-1261</v>
      </c>
      <c r="J12" s="108"/>
      <c r="K12" s="108"/>
      <c r="L12" s="109"/>
      <c r="M12" s="109"/>
      <c r="N12" s="109"/>
      <c r="O12" s="109"/>
      <c r="P12" s="108"/>
      <c r="Q12" s="108"/>
      <c r="R12" s="108"/>
      <c r="S12" s="108"/>
      <c r="T12" s="108"/>
      <c r="U12" s="108"/>
      <c r="V12" s="108"/>
      <c r="W12" s="108"/>
      <c r="X12" s="108"/>
      <c r="Y12" s="108"/>
      <c r="Z12" s="108"/>
      <c r="AA12" s="108"/>
      <c r="AB12" s="108"/>
      <c r="AC12" s="108"/>
      <c r="AD12" s="108"/>
      <c r="AE12" s="108"/>
      <c r="AF12" s="108"/>
      <c r="AG12" s="108"/>
      <c r="AH12" s="108"/>
      <c r="AI12" s="108"/>
      <c r="AJ12" s="108"/>
      <c r="AK12" s="107"/>
      <c r="AL12" s="107">
        <v>-1261</v>
      </c>
      <c r="AM12" s="107"/>
      <c r="AN12" s="107"/>
      <c r="AO12" s="107"/>
      <c r="AP12" s="107"/>
      <c r="AQ12" s="107"/>
      <c r="AR12" s="108"/>
    </row>
    <row r="13" spans="1:45" ht="11.25">
      <c r="A13" s="98" t="s">
        <v>39</v>
      </c>
      <c r="B13" s="107">
        <v>-483</v>
      </c>
      <c r="C13" s="107">
        <v>-492</v>
      </c>
      <c r="D13" s="107">
        <v>-497</v>
      </c>
      <c r="E13" s="107">
        <v>-501</v>
      </c>
      <c r="F13" s="107">
        <v>-10180</v>
      </c>
      <c r="G13" s="107">
        <v>-7729</v>
      </c>
      <c r="H13" s="107">
        <v>25829</v>
      </c>
      <c r="I13" s="107">
        <v>50312</v>
      </c>
      <c r="J13" s="108">
        <v>7841</v>
      </c>
      <c r="K13" s="108">
        <v>-42774</v>
      </c>
      <c r="L13" s="109">
        <v>-62009</v>
      </c>
      <c r="M13" s="109">
        <v>151212</v>
      </c>
      <c r="N13" s="109">
        <v>142638</v>
      </c>
      <c r="O13" s="109">
        <v>258805</v>
      </c>
      <c r="P13" s="108">
        <v>344093</v>
      </c>
      <c r="Q13" s="108">
        <v>314860</v>
      </c>
      <c r="R13" s="108">
        <v>26716</v>
      </c>
      <c r="S13" s="108">
        <v>5582</v>
      </c>
      <c r="T13" s="108">
        <v>18862</v>
      </c>
      <c r="U13" s="108">
        <v>107338</v>
      </c>
      <c r="V13" s="108">
        <v>-15421</v>
      </c>
      <c r="W13" s="108">
        <v>-53260</v>
      </c>
      <c r="X13" s="108">
        <v>-54048</v>
      </c>
      <c r="Y13" s="108">
        <v>-54272</v>
      </c>
      <c r="Z13" s="108">
        <v>-87</v>
      </c>
      <c r="AA13" s="108">
        <v>-349</v>
      </c>
      <c r="AB13" s="108">
        <v>-333</v>
      </c>
      <c r="AC13" s="108">
        <v>-276</v>
      </c>
      <c r="AD13" s="108">
        <v>-77</v>
      </c>
      <c r="AE13" s="108">
        <v>-151</v>
      </c>
      <c r="AF13" s="108">
        <v>-221</v>
      </c>
      <c r="AG13" s="108">
        <v>53958</v>
      </c>
      <c r="AH13" s="108">
        <v>44494</v>
      </c>
      <c r="AI13" s="108">
        <v>104945</v>
      </c>
      <c r="AJ13" s="108"/>
      <c r="AK13" s="107">
        <v>-501</v>
      </c>
      <c r="AL13" s="107">
        <v>50312</v>
      </c>
      <c r="AM13" s="107">
        <v>151212</v>
      </c>
      <c r="AN13" s="107">
        <f>Q13</f>
        <v>314860</v>
      </c>
      <c r="AO13" s="107">
        <f>U13</f>
        <v>107338</v>
      </c>
      <c r="AP13" s="107">
        <f>Y13</f>
        <v>-54272</v>
      </c>
      <c r="AQ13" s="107">
        <f>AC13</f>
        <v>-276</v>
      </c>
      <c r="AR13" s="108">
        <f>AG13</f>
        <v>53958</v>
      </c>
      <c r="AS13" s="112"/>
    </row>
    <row r="14" spans="1:45" s="112" customFormat="1" ht="11.25">
      <c r="A14" s="98" t="s">
        <v>176</v>
      </c>
      <c r="B14" s="107">
        <v>-6857</v>
      </c>
      <c r="C14" s="107">
        <v>-7343</v>
      </c>
      <c r="D14" s="107">
        <v>-13470</v>
      </c>
      <c r="E14" s="107">
        <v>-38732</v>
      </c>
      <c r="F14" s="107">
        <v>40613</v>
      </c>
      <c r="G14" s="107">
        <v>47524</v>
      </c>
      <c r="H14" s="107">
        <v>57045</v>
      </c>
      <c r="I14" s="107">
        <v>37925</v>
      </c>
      <c r="J14" s="108">
        <v>-70379</v>
      </c>
      <c r="K14" s="108">
        <v>-63206</v>
      </c>
      <c r="L14" s="109">
        <v>-91922</v>
      </c>
      <c r="M14" s="109">
        <v>-259446</v>
      </c>
      <c r="N14" s="109">
        <v>-26778</v>
      </c>
      <c r="O14" s="109">
        <v>-22598</v>
      </c>
      <c r="P14" s="108">
        <v>36829</v>
      </c>
      <c r="Q14" s="108">
        <v>34442</v>
      </c>
      <c r="R14" s="108">
        <v>8137</v>
      </c>
      <c r="S14" s="108">
        <v>18444</v>
      </c>
      <c r="T14" s="108">
        <v>27783</v>
      </c>
      <c r="U14" s="108">
        <v>33790</v>
      </c>
      <c r="V14" s="108">
        <v>11489</v>
      </c>
      <c r="W14" s="108">
        <v>5968</v>
      </c>
      <c r="X14" s="108">
        <v>34284</v>
      </c>
      <c r="Y14" s="108">
        <v>45643</v>
      </c>
      <c r="Z14" s="108">
        <v>-5453</v>
      </c>
      <c r="AA14" s="108">
        <v>-5250</v>
      </c>
      <c r="AB14" s="108">
        <v>-2170</v>
      </c>
      <c r="AC14" s="108">
        <v>20933</v>
      </c>
      <c r="AD14" s="108">
        <v>-39903</v>
      </c>
      <c r="AE14" s="108">
        <v>735</v>
      </c>
      <c r="AF14" s="108">
        <v>20283</v>
      </c>
      <c r="AG14" s="108">
        <v>80867</v>
      </c>
      <c r="AH14" s="108">
        <v>-8041</v>
      </c>
      <c r="AI14" s="108">
        <v>19455</v>
      </c>
      <c r="AJ14" s="108"/>
      <c r="AK14" s="107">
        <v>-38732</v>
      </c>
      <c r="AL14" s="107">
        <v>37925</v>
      </c>
      <c r="AM14" s="107">
        <v>-259446</v>
      </c>
      <c r="AN14" s="107">
        <f>Q14</f>
        <v>34442</v>
      </c>
      <c r="AO14" s="107">
        <f>U14</f>
        <v>33790</v>
      </c>
      <c r="AP14" s="107">
        <f>Y14</f>
        <v>45643</v>
      </c>
      <c r="AQ14" s="107">
        <f>AC14</f>
        <v>20933</v>
      </c>
      <c r="AR14" s="108">
        <f>AG14</f>
        <v>80867</v>
      </c>
      <c r="AS14" s="88"/>
    </row>
    <row r="15" spans="1:44" ht="11.25">
      <c r="A15" s="113" t="s">
        <v>40</v>
      </c>
      <c r="B15" s="114"/>
      <c r="C15" s="114"/>
      <c r="D15" s="114"/>
      <c r="E15" s="114">
        <v>136916</v>
      </c>
      <c r="F15" s="114"/>
      <c r="G15" s="114"/>
      <c r="H15" s="114"/>
      <c r="I15" s="114"/>
      <c r="J15" s="115"/>
      <c r="K15" s="115"/>
      <c r="L15" s="115"/>
      <c r="M15" s="115">
        <v>128389</v>
      </c>
      <c r="N15" s="115"/>
      <c r="O15" s="115"/>
      <c r="P15" s="115"/>
      <c r="Q15" s="115">
        <v>43662</v>
      </c>
      <c r="R15" s="115"/>
      <c r="S15" s="115"/>
      <c r="T15" s="115"/>
      <c r="U15" s="115">
        <v>58179</v>
      </c>
      <c r="V15" s="115"/>
      <c r="W15" s="115"/>
      <c r="X15" s="115"/>
      <c r="Y15" s="115"/>
      <c r="Z15" s="115"/>
      <c r="AA15" s="115"/>
      <c r="AB15" s="115"/>
      <c r="AC15" s="115"/>
      <c r="AD15" s="115"/>
      <c r="AE15" s="115"/>
      <c r="AF15" s="115"/>
      <c r="AG15" s="115"/>
      <c r="AH15" s="115"/>
      <c r="AI15" s="115"/>
      <c r="AJ15" s="115"/>
      <c r="AK15" s="114">
        <v>136916</v>
      </c>
      <c r="AL15" s="114"/>
      <c r="AM15" s="114">
        <v>128389</v>
      </c>
      <c r="AN15" s="114">
        <f>Q15</f>
        <v>43662</v>
      </c>
      <c r="AO15" s="114">
        <f>U15</f>
        <v>58179</v>
      </c>
      <c r="AP15" s="114"/>
      <c r="AQ15" s="114"/>
      <c r="AR15" s="115"/>
    </row>
    <row r="16" spans="1:44" ht="11.25">
      <c r="A16" s="116" t="s">
        <v>168</v>
      </c>
      <c r="B16" s="114"/>
      <c r="C16" s="114"/>
      <c r="D16" s="114"/>
      <c r="E16" s="114">
        <v>-6125</v>
      </c>
      <c r="F16" s="114"/>
      <c r="G16" s="114"/>
      <c r="H16" s="114"/>
      <c r="I16" s="114">
        <v>-58708</v>
      </c>
      <c r="J16" s="115"/>
      <c r="K16" s="115"/>
      <c r="L16" s="115"/>
      <c r="M16" s="115">
        <v>653297</v>
      </c>
      <c r="N16" s="115">
        <v>16780</v>
      </c>
      <c r="O16" s="115">
        <v>-136919</v>
      </c>
      <c r="P16" s="115">
        <v>-315096</v>
      </c>
      <c r="Q16" s="115">
        <v>-470930</v>
      </c>
      <c r="R16" s="115">
        <v>-4435</v>
      </c>
      <c r="S16" s="115">
        <v>-920</v>
      </c>
      <c r="T16" s="115">
        <v>-3230</v>
      </c>
      <c r="U16" s="115">
        <v>-4225</v>
      </c>
      <c r="V16" s="115">
        <v>-7591</v>
      </c>
      <c r="W16" s="115">
        <v>4819</v>
      </c>
      <c r="X16" s="115">
        <v>4819</v>
      </c>
      <c r="Y16" s="115">
        <v>4819</v>
      </c>
      <c r="Z16" s="115"/>
      <c r="AA16" s="115">
        <v>-409</v>
      </c>
      <c r="AB16" s="115">
        <v>-7184</v>
      </c>
      <c r="AC16" s="115">
        <v>-8522</v>
      </c>
      <c r="AD16" s="115">
        <v>-6478</v>
      </c>
      <c r="AE16" s="115">
        <v>8234</v>
      </c>
      <c r="AF16" s="115">
        <v>-7292</v>
      </c>
      <c r="AG16" s="115">
        <v>-455</v>
      </c>
      <c r="AH16" s="115">
        <v>6035</v>
      </c>
      <c r="AI16" s="115">
        <v>2116</v>
      </c>
      <c r="AJ16" s="115"/>
      <c r="AK16" s="114">
        <v>-6125</v>
      </c>
      <c r="AL16" s="114">
        <v>-58708</v>
      </c>
      <c r="AM16" s="114">
        <v>653297</v>
      </c>
      <c r="AN16" s="114">
        <f>Q16</f>
        <v>-470930</v>
      </c>
      <c r="AO16" s="114">
        <f>U16</f>
        <v>-4225</v>
      </c>
      <c r="AP16" s="114">
        <f>Y16</f>
        <v>4819</v>
      </c>
      <c r="AQ16" s="114">
        <f>AC16</f>
        <v>-8522</v>
      </c>
      <c r="AR16" s="115">
        <f>AG16</f>
        <v>-455</v>
      </c>
    </row>
    <row r="17" spans="1:44" ht="11.25">
      <c r="A17" s="116" t="s">
        <v>169</v>
      </c>
      <c r="B17" s="114"/>
      <c r="C17" s="114"/>
      <c r="D17" s="114"/>
      <c r="E17" s="114"/>
      <c r="F17" s="114"/>
      <c r="G17" s="114"/>
      <c r="H17" s="114"/>
      <c r="I17" s="114"/>
      <c r="J17" s="115"/>
      <c r="K17" s="115"/>
      <c r="L17" s="115"/>
      <c r="M17" s="115">
        <v>234000</v>
      </c>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4"/>
      <c r="AL17" s="114"/>
      <c r="AM17" s="114">
        <v>234000</v>
      </c>
      <c r="AN17" s="114"/>
      <c r="AO17" s="114"/>
      <c r="AP17" s="114"/>
      <c r="AQ17" s="114"/>
      <c r="AR17" s="115"/>
    </row>
    <row r="18" spans="1:44" ht="11.25">
      <c r="A18" s="116" t="s">
        <v>41</v>
      </c>
      <c r="B18" s="114"/>
      <c r="C18" s="114"/>
      <c r="D18" s="114"/>
      <c r="E18" s="114">
        <v>19765</v>
      </c>
      <c r="F18" s="114">
        <v>6019</v>
      </c>
      <c r="G18" s="114">
        <v>6070</v>
      </c>
      <c r="H18" s="114">
        <v>6115</v>
      </c>
      <c r="I18" s="114">
        <v>6190</v>
      </c>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4">
        <v>19765</v>
      </c>
      <c r="AL18" s="114">
        <v>6190</v>
      </c>
      <c r="AM18" s="114"/>
      <c r="AN18" s="114"/>
      <c r="AO18" s="114"/>
      <c r="AP18" s="114"/>
      <c r="AQ18" s="114"/>
      <c r="AR18" s="115"/>
    </row>
    <row r="19" spans="1:45" ht="11.25">
      <c r="A19" s="116" t="s">
        <v>170</v>
      </c>
      <c r="B19" s="114"/>
      <c r="C19" s="114"/>
      <c r="D19" s="114"/>
      <c r="E19" s="114"/>
      <c r="F19" s="114"/>
      <c r="G19" s="114"/>
      <c r="H19" s="114"/>
      <c r="I19" s="114"/>
      <c r="J19" s="115"/>
      <c r="K19" s="115"/>
      <c r="L19" s="115"/>
      <c r="M19" s="115">
        <v>-11431</v>
      </c>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4"/>
      <c r="AL19" s="114"/>
      <c r="AM19" s="114">
        <v>-11431</v>
      </c>
      <c r="AN19" s="114"/>
      <c r="AO19" s="114"/>
      <c r="AP19" s="114"/>
      <c r="AQ19" s="114"/>
      <c r="AR19" s="115"/>
      <c r="AS19" s="117"/>
    </row>
    <row r="20" spans="1:45" s="117" customFormat="1" ht="11.25">
      <c r="A20" s="113" t="s">
        <v>42</v>
      </c>
      <c r="B20" s="114">
        <v>14867</v>
      </c>
      <c r="C20" s="114">
        <v>21558</v>
      </c>
      <c r="D20" s="114">
        <v>27103</v>
      </c>
      <c r="E20" s="114">
        <v>21386</v>
      </c>
      <c r="F20" s="114">
        <v>-2591</v>
      </c>
      <c r="G20" s="114">
        <v>-1510</v>
      </c>
      <c r="H20" s="114">
        <v>4441</v>
      </c>
      <c r="I20" s="114">
        <v>16348</v>
      </c>
      <c r="J20" s="115">
        <v>4600</v>
      </c>
      <c r="K20" s="115">
        <v>47734</v>
      </c>
      <c r="L20" s="115">
        <v>-22965</v>
      </c>
      <c r="M20" s="115">
        <v>68285</v>
      </c>
      <c r="N20" s="115">
        <v>10072</v>
      </c>
      <c r="O20" s="115">
        <v>12984</v>
      </c>
      <c r="P20" s="115">
        <v>19616</v>
      </c>
      <c r="Q20" s="115">
        <v>21825</v>
      </c>
      <c r="R20" s="115">
        <v>13971</v>
      </c>
      <c r="S20" s="115">
        <v>35015</v>
      </c>
      <c r="T20" s="115">
        <v>10219</v>
      </c>
      <c r="U20" s="115">
        <v>99735</v>
      </c>
      <c r="V20" s="115">
        <v>4906</v>
      </c>
      <c r="W20" s="115">
        <v>-1840</v>
      </c>
      <c r="X20" s="115">
        <v>91913</v>
      </c>
      <c r="Y20" s="115">
        <v>24967</v>
      </c>
      <c r="Z20" s="115">
        <v>5002</v>
      </c>
      <c r="AA20" s="115">
        <v>-20129</v>
      </c>
      <c r="AB20" s="115">
        <v>8248</v>
      </c>
      <c r="AC20" s="115">
        <v>14293</v>
      </c>
      <c r="AD20" s="115">
        <v>49051</v>
      </c>
      <c r="AE20" s="115">
        <v>61444</v>
      </c>
      <c r="AF20" s="115">
        <v>16602</v>
      </c>
      <c r="AG20" s="115">
        <v>-48623</v>
      </c>
      <c r="AH20" s="115">
        <v>-6019</v>
      </c>
      <c r="AI20" s="115">
        <v>966</v>
      </c>
      <c r="AJ20" s="115"/>
      <c r="AK20" s="114">
        <v>21386</v>
      </c>
      <c r="AL20" s="114">
        <v>16348</v>
      </c>
      <c r="AM20" s="114">
        <v>68285</v>
      </c>
      <c r="AN20" s="114">
        <f>Q20</f>
        <v>21825</v>
      </c>
      <c r="AO20" s="114">
        <f>U20</f>
        <v>99735</v>
      </c>
      <c r="AP20" s="114">
        <f>Y20</f>
        <v>24967</v>
      </c>
      <c r="AQ20" s="114">
        <f>AC20</f>
        <v>14293</v>
      </c>
      <c r="AR20" s="115">
        <f>AG20</f>
        <v>-48623</v>
      </c>
      <c r="AS20" s="121"/>
    </row>
    <row r="21" spans="1:44" s="121" customFormat="1" ht="11.25">
      <c r="A21" s="118" t="s">
        <v>43</v>
      </c>
      <c r="B21" s="119"/>
      <c r="C21" s="119"/>
      <c r="D21" s="119"/>
      <c r="E21" s="119"/>
      <c r="F21" s="119"/>
      <c r="G21" s="119"/>
      <c r="H21" s="119"/>
      <c r="I21" s="119"/>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19"/>
      <c r="AL21" s="119"/>
      <c r="AM21" s="119"/>
      <c r="AN21" s="119"/>
      <c r="AO21" s="119"/>
      <c r="AP21" s="119"/>
      <c r="AQ21" s="119"/>
      <c r="AR21" s="120"/>
    </row>
    <row r="22" spans="1:44" s="121" customFormat="1" ht="11.25">
      <c r="A22" s="98" t="s">
        <v>177</v>
      </c>
      <c r="B22" s="107">
        <v>-24790</v>
      </c>
      <c r="C22" s="107">
        <v>-137577</v>
      </c>
      <c r="D22" s="107">
        <v>-155745</v>
      </c>
      <c r="E22" s="107">
        <v>-135234</v>
      </c>
      <c r="F22" s="107">
        <v>-135520</v>
      </c>
      <c r="G22" s="107">
        <v>-17551</v>
      </c>
      <c r="H22" s="107">
        <v>-61538</v>
      </c>
      <c r="I22" s="107">
        <v>-33325</v>
      </c>
      <c r="J22" s="108">
        <v>-260800</v>
      </c>
      <c r="K22" s="108">
        <v>183443</v>
      </c>
      <c r="L22" s="109">
        <v>-17931</v>
      </c>
      <c r="M22" s="109">
        <v>-698002</v>
      </c>
      <c r="N22" s="109">
        <v>98258</v>
      </c>
      <c r="O22" s="109">
        <v>494731</v>
      </c>
      <c r="P22" s="108">
        <v>504158</v>
      </c>
      <c r="Q22" s="108">
        <v>493751</v>
      </c>
      <c r="R22" s="108">
        <v>-122052</v>
      </c>
      <c r="S22" s="108">
        <v>-339896</v>
      </c>
      <c r="T22" s="108">
        <v>-283986</v>
      </c>
      <c r="U22" s="108">
        <v>-356198</v>
      </c>
      <c r="V22" s="108">
        <v>53869</v>
      </c>
      <c r="W22" s="108">
        <v>-389384</v>
      </c>
      <c r="X22" s="108">
        <v>23118</v>
      </c>
      <c r="Y22" s="108">
        <v>130417</v>
      </c>
      <c r="Z22" s="108">
        <v>-57933</v>
      </c>
      <c r="AA22" s="108">
        <v>-106074</v>
      </c>
      <c r="AB22" s="108">
        <v>74681</v>
      </c>
      <c r="AC22" s="108">
        <v>166715</v>
      </c>
      <c r="AD22" s="108">
        <v>-102199</v>
      </c>
      <c r="AE22" s="108">
        <v>-122067</v>
      </c>
      <c r="AF22" s="108">
        <v>-417120</v>
      </c>
      <c r="AG22" s="108">
        <v>-337090</v>
      </c>
      <c r="AH22" s="108">
        <v>-227756</v>
      </c>
      <c r="AI22" s="108">
        <v>-155919</v>
      </c>
      <c r="AJ22" s="108"/>
      <c r="AK22" s="107">
        <v>-135234</v>
      </c>
      <c r="AL22" s="107">
        <v>-33325</v>
      </c>
      <c r="AM22" s="107">
        <v>-698002</v>
      </c>
      <c r="AN22" s="107">
        <f>Q22</f>
        <v>493751</v>
      </c>
      <c r="AO22" s="107">
        <f>U22</f>
        <v>-356198</v>
      </c>
      <c r="AP22" s="107">
        <f>Y22</f>
        <v>130417</v>
      </c>
      <c r="AQ22" s="107">
        <f>AC22</f>
        <v>166715</v>
      </c>
      <c r="AR22" s="108">
        <f>AG22</f>
        <v>-337090</v>
      </c>
    </row>
    <row r="23" spans="1:44" s="121" customFormat="1" ht="11.25">
      <c r="A23" s="98" t="s">
        <v>178</v>
      </c>
      <c r="B23" s="107">
        <v>22158</v>
      </c>
      <c r="C23" s="107">
        <v>-4357</v>
      </c>
      <c r="D23" s="107">
        <v>-68914</v>
      </c>
      <c r="E23" s="107">
        <v>-159995</v>
      </c>
      <c r="F23" s="107">
        <v>-24596</v>
      </c>
      <c r="G23" s="107">
        <v>-80258</v>
      </c>
      <c r="H23" s="107">
        <v>-152130</v>
      </c>
      <c r="I23" s="107">
        <v>-200074</v>
      </c>
      <c r="J23" s="108">
        <v>-229482</v>
      </c>
      <c r="K23" s="108">
        <v>74123</v>
      </c>
      <c r="L23" s="109">
        <v>-341985</v>
      </c>
      <c r="M23" s="109">
        <v>-364316</v>
      </c>
      <c r="N23" s="109">
        <v>294444</v>
      </c>
      <c r="O23" s="109">
        <v>401532</v>
      </c>
      <c r="P23" s="108">
        <v>420804</v>
      </c>
      <c r="Q23" s="108">
        <v>331396</v>
      </c>
      <c r="R23" s="108">
        <v>-153603</v>
      </c>
      <c r="S23" s="108">
        <v>-313130</v>
      </c>
      <c r="T23" s="108">
        <v>-438261</v>
      </c>
      <c r="U23" s="108">
        <v>-458033</v>
      </c>
      <c r="V23" s="108">
        <v>-87895</v>
      </c>
      <c r="W23" s="108">
        <v>-205709</v>
      </c>
      <c r="X23" s="108">
        <v>-489604</v>
      </c>
      <c r="Y23" s="108">
        <v>-368932</v>
      </c>
      <c r="Z23" s="108">
        <v>194871</v>
      </c>
      <c r="AA23" s="108">
        <v>49245</v>
      </c>
      <c r="AB23" s="108">
        <v>128192</v>
      </c>
      <c r="AC23" s="108">
        <v>169858</v>
      </c>
      <c r="AD23" s="108">
        <v>74726</v>
      </c>
      <c r="AE23" s="108">
        <v>100948</v>
      </c>
      <c r="AF23" s="108">
        <v>152304</v>
      </c>
      <c r="AG23" s="108">
        <v>-95777</v>
      </c>
      <c r="AH23" s="108">
        <v>229868</v>
      </c>
      <c r="AI23" s="108">
        <v>331808</v>
      </c>
      <c r="AJ23" s="108"/>
      <c r="AK23" s="107">
        <v>-159995</v>
      </c>
      <c r="AL23" s="107">
        <v>-200074</v>
      </c>
      <c r="AM23" s="107">
        <v>-364316</v>
      </c>
      <c r="AN23" s="107">
        <f>Q23</f>
        <v>331396</v>
      </c>
      <c r="AO23" s="107">
        <f>U23</f>
        <v>-458033</v>
      </c>
      <c r="AP23" s="107">
        <f>Y23</f>
        <v>-368932</v>
      </c>
      <c r="AQ23" s="107">
        <f>AC23</f>
        <v>169858</v>
      </c>
      <c r="AR23" s="108">
        <f>AG23</f>
        <v>-95777</v>
      </c>
    </row>
    <row r="24" spans="1:45" s="121" customFormat="1" ht="11.25">
      <c r="A24" s="98" t="s">
        <v>179</v>
      </c>
      <c r="B24" s="107">
        <v>4317</v>
      </c>
      <c r="C24" s="107">
        <v>-1276</v>
      </c>
      <c r="D24" s="107">
        <v>-150</v>
      </c>
      <c r="E24" s="107">
        <v>-16905</v>
      </c>
      <c r="F24" s="107">
        <v>-28776</v>
      </c>
      <c r="G24" s="107">
        <v>-10286</v>
      </c>
      <c r="H24" s="107">
        <v>-42847</v>
      </c>
      <c r="I24" s="107">
        <v>-43633</v>
      </c>
      <c r="J24" s="108">
        <v>-14716</v>
      </c>
      <c r="K24" s="108">
        <v>-17829</v>
      </c>
      <c r="L24" s="109">
        <v>14889</v>
      </c>
      <c r="M24" s="109">
        <v>45690</v>
      </c>
      <c r="N24" s="109">
        <v>-4082</v>
      </c>
      <c r="O24" s="109">
        <v>-146</v>
      </c>
      <c r="P24" s="108">
        <v>4865</v>
      </c>
      <c r="Q24" s="108">
        <v>17193</v>
      </c>
      <c r="R24" s="108">
        <v>-1712</v>
      </c>
      <c r="S24" s="108">
        <v>-2945</v>
      </c>
      <c r="T24" s="108">
        <v>-4309</v>
      </c>
      <c r="U24" s="108">
        <v>5517</v>
      </c>
      <c r="V24" s="108">
        <v>-8597</v>
      </c>
      <c r="W24" s="108">
        <v>-5160</v>
      </c>
      <c r="X24" s="108">
        <v>11116</v>
      </c>
      <c r="Y24" s="108">
        <v>13495</v>
      </c>
      <c r="Z24" s="108">
        <v>1796</v>
      </c>
      <c r="AA24" s="108">
        <v>11688</v>
      </c>
      <c r="AB24" s="108">
        <v>19218</v>
      </c>
      <c r="AC24" s="108">
        <v>31628</v>
      </c>
      <c r="AD24" s="108">
        <v>4762</v>
      </c>
      <c r="AE24" s="108">
        <v>1879</v>
      </c>
      <c r="AF24" s="108">
        <v>5720</v>
      </c>
      <c r="AG24" s="108">
        <v>7351</v>
      </c>
      <c r="AH24" s="108">
        <v>-10566</v>
      </c>
      <c r="AI24" s="108">
        <v>-7832</v>
      </c>
      <c r="AJ24" s="108"/>
      <c r="AK24" s="107">
        <v>-16905</v>
      </c>
      <c r="AL24" s="107">
        <v>-43633</v>
      </c>
      <c r="AM24" s="107">
        <v>45690</v>
      </c>
      <c r="AN24" s="107">
        <f>Q24</f>
        <v>17193</v>
      </c>
      <c r="AO24" s="107">
        <f>U24</f>
        <v>5517</v>
      </c>
      <c r="AP24" s="107">
        <f>Y24</f>
        <v>13495</v>
      </c>
      <c r="AQ24" s="107">
        <f>AC24</f>
        <v>31628</v>
      </c>
      <c r="AR24" s="108">
        <f>AG24</f>
        <v>7351</v>
      </c>
      <c r="AS24" s="88"/>
    </row>
    <row r="25" spans="1:45" ht="11.25">
      <c r="A25" s="98" t="s">
        <v>44</v>
      </c>
      <c r="B25" s="107">
        <v>-19673</v>
      </c>
      <c r="C25" s="107">
        <v>-42000</v>
      </c>
      <c r="D25" s="107">
        <v>-64512</v>
      </c>
      <c r="E25" s="107">
        <v>-69776</v>
      </c>
      <c r="F25" s="107">
        <v>-1277</v>
      </c>
      <c r="G25" s="107">
        <v>-104199</v>
      </c>
      <c r="H25" s="107">
        <v>-104973</v>
      </c>
      <c r="I25" s="107">
        <v>-106260</v>
      </c>
      <c r="J25" s="108"/>
      <c r="K25" s="108"/>
      <c r="L25" s="109"/>
      <c r="M25" s="109"/>
      <c r="N25" s="109"/>
      <c r="O25" s="109"/>
      <c r="P25" s="108"/>
      <c r="Q25" s="108"/>
      <c r="R25" s="108"/>
      <c r="S25" s="108"/>
      <c r="T25" s="108"/>
      <c r="U25" s="108"/>
      <c r="V25" s="108"/>
      <c r="W25" s="108"/>
      <c r="X25" s="108"/>
      <c r="Y25" s="108"/>
      <c r="Z25" s="108"/>
      <c r="AA25" s="108"/>
      <c r="AB25" s="108"/>
      <c r="AC25" s="108"/>
      <c r="AD25" s="108"/>
      <c r="AE25" s="108"/>
      <c r="AF25" s="108"/>
      <c r="AG25" s="108"/>
      <c r="AH25" s="108"/>
      <c r="AI25" s="108"/>
      <c r="AJ25" s="108"/>
      <c r="AK25" s="107">
        <v>-69776</v>
      </c>
      <c r="AL25" s="107">
        <v>-106260</v>
      </c>
      <c r="AM25" s="107"/>
      <c r="AN25" s="107"/>
      <c r="AO25" s="107"/>
      <c r="AP25" s="107"/>
      <c r="AQ25" s="107"/>
      <c r="AR25" s="108"/>
      <c r="AS25" s="121"/>
    </row>
    <row r="26" spans="1:44" s="121" customFormat="1" ht="11.25">
      <c r="A26" s="98" t="s">
        <v>180</v>
      </c>
      <c r="B26" s="107">
        <v>-59742</v>
      </c>
      <c r="C26" s="107">
        <v>-41369</v>
      </c>
      <c r="D26" s="107">
        <v>-117640</v>
      </c>
      <c r="E26" s="107">
        <v>-23125</v>
      </c>
      <c r="F26" s="107">
        <v>79082</v>
      </c>
      <c r="G26" s="107">
        <v>338080</v>
      </c>
      <c r="H26" s="107">
        <v>349209</v>
      </c>
      <c r="I26" s="107">
        <v>242830</v>
      </c>
      <c r="J26" s="108">
        <v>60175</v>
      </c>
      <c r="K26" s="108">
        <v>-870745</v>
      </c>
      <c r="L26" s="109">
        <v>-891376</v>
      </c>
      <c r="M26" s="109">
        <v>89776</v>
      </c>
      <c r="N26" s="109">
        <v>-15205</v>
      </c>
      <c r="O26" s="109">
        <v>-11014</v>
      </c>
      <c r="P26" s="108">
        <v>16690</v>
      </c>
      <c r="Q26" s="108">
        <v>10534</v>
      </c>
      <c r="R26" s="108">
        <v>95362</v>
      </c>
      <c r="S26" s="108">
        <v>193299</v>
      </c>
      <c r="T26" s="108">
        <v>195072</v>
      </c>
      <c r="U26" s="108">
        <v>213979</v>
      </c>
      <c r="V26" s="108">
        <v>71361</v>
      </c>
      <c r="W26" s="108">
        <v>161958</v>
      </c>
      <c r="X26" s="108">
        <v>244176</v>
      </c>
      <c r="Y26" s="108">
        <v>97616</v>
      </c>
      <c r="Z26" s="108">
        <v>13071</v>
      </c>
      <c r="AA26" s="108">
        <v>25928</v>
      </c>
      <c r="AB26" s="108">
        <v>50187</v>
      </c>
      <c r="AC26" s="108">
        <v>-69932</v>
      </c>
      <c r="AD26" s="108">
        <v>-16520</v>
      </c>
      <c r="AE26" s="108">
        <v>-34820</v>
      </c>
      <c r="AF26" s="108">
        <v>333344</v>
      </c>
      <c r="AG26" s="108">
        <v>412147</v>
      </c>
      <c r="AH26" s="108">
        <v>-2903</v>
      </c>
      <c r="AI26" s="108">
        <v>-25729</v>
      </c>
      <c r="AJ26" s="108"/>
      <c r="AK26" s="107">
        <v>-23125</v>
      </c>
      <c r="AL26" s="107">
        <v>242830</v>
      </c>
      <c r="AM26" s="107">
        <v>89776</v>
      </c>
      <c r="AN26" s="107">
        <f>Q26</f>
        <v>10534</v>
      </c>
      <c r="AO26" s="107">
        <f>U26</f>
        <v>213979</v>
      </c>
      <c r="AP26" s="107">
        <f>Y26</f>
        <v>97616</v>
      </c>
      <c r="AQ26" s="107">
        <f>AC26</f>
        <v>-69932</v>
      </c>
      <c r="AR26" s="108">
        <f>AG26</f>
        <v>412147</v>
      </c>
    </row>
    <row r="27" spans="1:44" s="121" customFormat="1" ht="11.25">
      <c r="A27" s="98" t="s">
        <v>45</v>
      </c>
      <c r="B27" s="107">
        <v>-12862</v>
      </c>
      <c r="C27" s="107">
        <v>14387</v>
      </c>
      <c r="D27" s="107">
        <v>90052</v>
      </c>
      <c r="E27" s="107">
        <v>32376</v>
      </c>
      <c r="F27" s="107">
        <v>-13334</v>
      </c>
      <c r="G27" s="107">
        <v>-20826</v>
      </c>
      <c r="H27" s="107">
        <v>-20978</v>
      </c>
      <c r="I27" s="107">
        <v>-33700</v>
      </c>
      <c r="J27" s="108">
        <v>19173</v>
      </c>
      <c r="K27" s="108">
        <v>72665</v>
      </c>
      <c r="L27" s="109">
        <v>67617</v>
      </c>
      <c r="M27" s="115">
        <v>-63610</v>
      </c>
      <c r="N27" s="115">
        <v>17507</v>
      </c>
      <c r="O27" s="115">
        <v>17597</v>
      </c>
      <c r="P27" s="108">
        <v>30556</v>
      </c>
      <c r="Q27" s="108">
        <v>5990</v>
      </c>
      <c r="R27" s="108">
        <v>6162</v>
      </c>
      <c r="S27" s="108">
        <v>25384</v>
      </c>
      <c r="T27" s="108">
        <v>17271</v>
      </c>
      <c r="U27" s="108">
        <v>-29</v>
      </c>
      <c r="V27" s="108">
        <v>6033</v>
      </c>
      <c r="W27" s="108">
        <v>43173</v>
      </c>
      <c r="X27" s="108">
        <v>13080</v>
      </c>
      <c r="Y27" s="108">
        <v>-10118</v>
      </c>
      <c r="Z27" s="108">
        <v>381</v>
      </c>
      <c r="AA27" s="108">
        <v>16427</v>
      </c>
      <c r="AB27" s="108">
        <v>-2207</v>
      </c>
      <c r="AC27" s="108">
        <v>12471</v>
      </c>
      <c r="AD27" s="108">
        <v>21727</v>
      </c>
      <c r="AE27" s="108">
        <v>23709</v>
      </c>
      <c r="AF27" s="108">
        <v>20672</v>
      </c>
      <c r="AG27" s="108">
        <v>2104</v>
      </c>
      <c r="AH27" s="108">
        <v>13173</v>
      </c>
      <c r="AI27" s="108">
        <v>3638</v>
      </c>
      <c r="AJ27" s="108"/>
      <c r="AK27" s="107">
        <v>32376</v>
      </c>
      <c r="AL27" s="107">
        <v>-33700</v>
      </c>
      <c r="AM27" s="107">
        <v>-63610</v>
      </c>
      <c r="AN27" s="107">
        <f>Q27</f>
        <v>5990</v>
      </c>
      <c r="AO27" s="107">
        <f>U27</f>
        <v>-29</v>
      </c>
      <c r="AP27" s="107">
        <f>Y27</f>
        <v>-10118</v>
      </c>
      <c r="AQ27" s="107">
        <f>AC27</f>
        <v>12471</v>
      </c>
      <c r="AR27" s="108">
        <f>AG27</f>
        <v>2104</v>
      </c>
    </row>
    <row r="28" spans="1:44" s="121" customFormat="1" ht="11.25">
      <c r="A28" s="122"/>
      <c r="B28" s="119"/>
      <c r="C28" s="119"/>
      <c r="D28" s="119"/>
      <c r="E28" s="119"/>
      <c r="F28" s="119"/>
      <c r="G28" s="119"/>
      <c r="H28" s="119"/>
      <c r="I28" s="119"/>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19"/>
      <c r="AL28" s="119"/>
      <c r="AM28" s="119"/>
      <c r="AN28" s="119"/>
      <c r="AO28" s="119"/>
      <c r="AP28" s="119"/>
      <c r="AQ28" s="119"/>
      <c r="AR28" s="120"/>
    </row>
    <row r="29" spans="1:45" s="121" customFormat="1" ht="11.25">
      <c r="A29" s="123" t="s">
        <v>255</v>
      </c>
      <c r="B29" s="124">
        <v>159091</v>
      </c>
      <c r="C29" s="124">
        <v>527777</v>
      </c>
      <c r="D29" s="124">
        <v>1029487</v>
      </c>
      <c r="E29" s="124">
        <v>1585089</v>
      </c>
      <c r="F29" s="124">
        <v>459310</v>
      </c>
      <c r="G29" s="124">
        <v>1366917</v>
      </c>
      <c r="H29" s="124">
        <v>1979040</v>
      </c>
      <c r="I29" s="124">
        <v>2523903</v>
      </c>
      <c r="J29" s="125">
        <v>250066</v>
      </c>
      <c r="K29" s="125">
        <v>1184165</v>
      </c>
      <c r="L29" s="125">
        <v>1888060</v>
      </c>
      <c r="M29" s="125">
        <v>2780762</v>
      </c>
      <c r="N29" s="125">
        <v>382163</v>
      </c>
      <c r="O29" s="125">
        <v>927165</v>
      </c>
      <c r="P29" s="125">
        <v>1251050</v>
      </c>
      <c r="Q29" s="125">
        <v>1394259</v>
      </c>
      <c r="R29" s="125">
        <v>102720</v>
      </c>
      <c r="S29" s="125">
        <v>448697</v>
      </c>
      <c r="T29" s="125">
        <v>1006644</v>
      </c>
      <c r="U29" s="125">
        <v>1431097</v>
      </c>
      <c r="V29" s="125">
        <v>542296</v>
      </c>
      <c r="W29" s="125">
        <v>826524</v>
      </c>
      <c r="X29" s="125">
        <v>1484949</v>
      </c>
      <c r="Y29" s="125">
        <v>1805115</v>
      </c>
      <c r="Z29" s="125">
        <v>502309</v>
      </c>
      <c r="AA29" s="125">
        <f>SUM(AA3:AA27)</f>
        <v>806751</v>
      </c>
      <c r="AB29" s="125">
        <v>1491170</v>
      </c>
      <c r="AC29" s="125">
        <v>1824657</v>
      </c>
      <c r="AD29" s="125">
        <f>SUM(AD3:AD27)</f>
        <v>250722</v>
      </c>
      <c r="AE29" s="125">
        <f>SUM(AE3:AE27)</f>
        <v>580522</v>
      </c>
      <c r="AF29" s="125">
        <f>SUM(AF3:AF27)</f>
        <v>1029790</v>
      </c>
      <c r="AG29" s="125">
        <v>1218501</v>
      </c>
      <c r="AH29" s="125">
        <v>436316</v>
      </c>
      <c r="AI29" s="125">
        <v>1066090</v>
      </c>
      <c r="AJ29" s="125"/>
      <c r="AK29" s="124">
        <v>1585089</v>
      </c>
      <c r="AL29" s="124">
        <v>2523903</v>
      </c>
      <c r="AM29" s="124">
        <v>2780762</v>
      </c>
      <c r="AN29" s="124">
        <f>Q29</f>
        <v>1394259</v>
      </c>
      <c r="AO29" s="124">
        <f>U29</f>
        <v>1431097</v>
      </c>
      <c r="AP29" s="124">
        <f>Y29</f>
        <v>1805115</v>
      </c>
      <c r="AQ29" s="124">
        <f>AC29</f>
        <v>1824657</v>
      </c>
      <c r="AR29" s="125">
        <f>AG29</f>
        <v>1218501</v>
      </c>
      <c r="AS29" s="117"/>
    </row>
    <row r="30" spans="1:44" s="121" customFormat="1" ht="11.25">
      <c r="A30" s="98" t="s">
        <v>253</v>
      </c>
      <c r="B30" s="107"/>
      <c r="C30" s="107"/>
      <c r="D30" s="107"/>
      <c r="E30" s="107"/>
      <c r="F30" s="107"/>
      <c r="G30" s="107"/>
      <c r="H30" s="107"/>
      <c r="I30" s="107"/>
      <c r="J30" s="108"/>
      <c r="K30" s="108"/>
      <c r="L30" s="109"/>
      <c r="M30" s="109"/>
      <c r="N30" s="109"/>
      <c r="O30" s="109"/>
      <c r="P30" s="108"/>
      <c r="Q30" s="108"/>
      <c r="R30" s="108"/>
      <c r="S30" s="108"/>
      <c r="T30" s="108"/>
      <c r="U30" s="108"/>
      <c r="V30" s="108"/>
      <c r="W30" s="108"/>
      <c r="X30" s="108"/>
      <c r="Y30" s="108"/>
      <c r="Z30" s="108"/>
      <c r="AA30" s="108"/>
      <c r="AB30" s="108"/>
      <c r="AC30" s="108"/>
      <c r="AD30" s="108"/>
      <c r="AE30" s="108"/>
      <c r="AF30" s="108">
        <v>28266</v>
      </c>
      <c r="AG30" s="108">
        <v>40433</v>
      </c>
      <c r="AH30" s="108">
        <v>5388</v>
      </c>
      <c r="AI30" s="108">
        <v>14024</v>
      </c>
      <c r="AJ30" s="108"/>
      <c r="AK30" s="107"/>
      <c r="AL30" s="107"/>
      <c r="AM30" s="107"/>
      <c r="AN30" s="107"/>
      <c r="AO30" s="107"/>
      <c r="AP30" s="107"/>
      <c r="AQ30" s="107"/>
      <c r="AR30" s="108">
        <f>AG30</f>
        <v>40433</v>
      </c>
    </row>
    <row r="31" spans="1:44" s="121" customFormat="1" ht="11.25">
      <c r="A31" s="98" t="s">
        <v>254</v>
      </c>
      <c r="B31" s="107"/>
      <c r="C31" s="107"/>
      <c r="D31" s="107"/>
      <c r="E31" s="107"/>
      <c r="F31" s="107"/>
      <c r="G31" s="107"/>
      <c r="H31" s="107"/>
      <c r="I31" s="107"/>
      <c r="J31" s="108"/>
      <c r="K31" s="108"/>
      <c r="L31" s="109"/>
      <c r="M31" s="109"/>
      <c r="N31" s="109"/>
      <c r="O31" s="109"/>
      <c r="P31" s="108"/>
      <c r="Q31" s="108"/>
      <c r="R31" s="108"/>
      <c r="S31" s="108"/>
      <c r="T31" s="108"/>
      <c r="U31" s="108"/>
      <c r="V31" s="108"/>
      <c r="W31" s="108"/>
      <c r="X31" s="108"/>
      <c r="Y31" s="108"/>
      <c r="Z31" s="108"/>
      <c r="AA31" s="108"/>
      <c r="AB31" s="108"/>
      <c r="AC31" s="108"/>
      <c r="AD31" s="108"/>
      <c r="AE31" s="108"/>
      <c r="AF31" s="108">
        <v>-71074</v>
      </c>
      <c r="AG31" s="108">
        <v>-81486</v>
      </c>
      <c r="AH31" s="108">
        <v>-40499</v>
      </c>
      <c r="AI31" s="108">
        <v>-60921</v>
      </c>
      <c r="AJ31" s="108"/>
      <c r="AK31" s="107"/>
      <c r="AL31" s="107"/>
      <c r="AM31" s="107"/>
      <c r="AN31" s="107"/>
      <c r="AO31" s="107"/>
      <c r="AP31" s="107"/>
      <c r="AQ31" s="107"/>
      <c r="AR31" s="108">
        <f>AG31</f>
        <v>-81486</v>
      </c>
    </row>
    <row r="32" spans="1:45" s="121" customFormat="1" ht="11.25">
      <c r="A32" s="123" t="s">
        <v>256</v>
      </c>
      <c r="B32" s="124"/>
      <c r="C32" s="124"/>
      <c r="D32" s="124"/>
      <c r="E32" s="124"/>
      <c r="F32" s="124"/>
      <c r="G32" s="124"/>
      <c r="H32" s="124"/>
      <c r="I32" s="124"/>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v>986982</v>
      </c>
      <c r="AG32" s="125">
        <v>1177448</v>
      </c>
      <c r="AH32" s="125">
        <v>401205</v>
      </c>
      <c r="AI32" s="125">
        <v>1019193</v>
      </c>
      <c r="AJ32" s="125"/>
      <c r="AK32" s="124"/>
      <c r="AL32" s="124"/>
      <c r="AM32" s="124"/>
      <c r="AN32" s="124"/>
      <c r="AO32" s="124"/>
      <c r="AP32" s="124"/>
      <c r="AQ32" s="124"/>
      <c r="AR32" s="125">
        <f>AG32</f>
        <v>1177448</v>
      </c>
      <c r="AS32" s="117"/>
    </row>
    <row r="33" spans="1:44" s="117" customFormat="1" ht="11.25">
      <c r="A33" s="126"/>
      <c r="B33" s="127"/>
      <c r="C33" s="127"/>
      <c r="D33" s="127"/>
      <c r="E33" s="127"/>
      <c r="F33" s="127"/>
      <c r="G33" s="127"/>
      <c r="H33" s="127"/>
      <c r="I33" s="127"/>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7"/>
      <c r="AL33" s="127"/>
      <c r="AM33" s="127"/>
      <c r="AN33" s="127"/>
      <c r="AO33" s="127"/>
      <c r="AP33" s="127"/>
      <c r="AQ33" s="127"/>
      <c r="AR33" s="128"/>
    </row>
    <row r="34" spans="1:45" s="117" customFormat="1" ht="11.25">
      <c r="A34" s="129" t="s">
        <v>46</v>
      </c>
      <c r="B34" s="130"/>
      <c r="C34" s="130"/>
      <c r="D34" s="130"/>
      <c r="E34" s="130"/>
      <c r="F34" s="130"/>
      <c r="G34" s="130"/>
      <c r="H34" s="130"/>
      <c r="I34" s="130"/>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0"/>
      <c r="AL34" s="130"/>
      <c r="AM34" s="130"/>
      <c r="AN34" s="130"/>
      <c r="AO34" s="130"/>
      <c r="AP34" s="130"/>
      <c r="AQ34" s="130"/>
      <c r="AR34" s="131"/>
      <c r="AS34" s="135"/>
    </row>
    <row r="35" spans="1:45" s="135" customFormat="1" ht="11.25">
      <c r="A35" s="132" t="s">
        <v>47</v>
      </c>
      <c r="B35" s="133">
        <v>-59365</v>
      </c>
      <c r="C35" s="133">
        <v>-809655</v>
      </c>
      <c r="D35" s="133">
        <v>-1348063</v>
      </c>
      <c r="E35" s="133">
        <v>-1347545</v>
      </c>
      <c r="F35" s="133"/>
      <c r="G35" s="133"/>
      <c r="H35" s="133"/>
      <c r="I35" s="133"/>
      <c r="J35" s="134">
        <v>-28169</v>
      </c>
      <c r="K35" s="134">
        <v>-126144</v>
      </c>
      <c r="L35" s="134">
        <v>-160493</v>
      </c>
      <c r="M35" s="134">
        <v>-514156</v>
      </c>
      <c r="N35" s="134"/>
      <c r="O35" s="134"/>
      <c r="P35" s="134"/>
      <c r="Q35" s="134"/>
      <c r="R35" s="134"/>
      <c r="S35" s="134"/>
      <c r="T35" s="134"/>
      <c r="U35" s="134">
        <v>-28363</v>
      </c>
      <c r="V35" s="134"/>
      <c r="W35" s="134"/>
      <c r="X35" s="134"/>
      <c r="Y35" s="134"/>
      <c r="Z35" s="134"/>
      <c r="AA35" s="134"/>
      <c r="AB35" s="134"/>
      <c r="AC35" s="134"/>
      <c r="AD35" s="134"/>
      <c r="AE35" s="134"/>
      <c r="AF35" s="134"/>
      <c r="AG35" s="134"/>
      <c r="AH35" s="134"/>
      <c r="AI35" s="134"/>
      <c r="AJ35" s="134"/>
      <c r="AK35" s="133">
        <v>-1347545</v>
      </c>
      <c r="AL35" s="133"/>
      <c r="AM35" s="133">
        <v>-514156</v>
      </c>
      <c r="AN35" s="133"/>
      <c r="AO35" s="133">
        <f>U35</f>
        <v>-28363</v>
      </c>
      <c r="AP35" s="133"/>
      <c r="AQ35" s="133"/>
      <c r="AR35" s="134"/>
      <c r="AS35" s="88"/>
    </row>
    <row r="36" spans="1:45" s="135" customFormat="1" ht="11.25">
      <c r="A36" s="132" t="s">
        <v>246</v>
      </c>
      <c r="B36" s="133"/>
      <c r="C36" s="133"/>
      <c r="D36" s="133"/>
      <c r="E36" s="133"/>
      <c r="F36" s="133"/>
      <c r="G36" s="133"/>
      <c r="H36" s="133"/>
      <c r="I36" s="133"/>
      <c r="J36" s="134"/>
      <c r="K36" s="134"/>
      <c r="L36" s="134"/>
      <c r="M36" s="134"/>
      <c r="N36" s="134"/>
      <c r="O36" s="134"/>
      <c r="P36" s="134"/>
      <c r="Q36" s="134"/>
      <c r="R36" s="134"/>
      <c r="S36" s="134"/>
      <c r="T36" s="134"/>
      <c r="U36" s="134"/>
      <c r="V36" s="134"/>
      <c r="W36" s="134"/>
      <c r="X36" s="134"/>
      <c r="Y36" s="134"/>
      <c r="Z36" s="134"/>
      <c r="AA36" s="134"/>
      <c r="AB36" s="134"/>
      <c r="AC36" s="134"/>
      <c r="AD36" s="134">
        <v>-9609</v>
      </c>
      <c r="AE36" s="134">
        <v>-9609</v>
      </c>
      <c r="AF36" s="134">
        <v>-9609</v>
      </c>
      <c r="AG36" s="134">
        <v>-9609</v>
      </c>
      <c r="AH36" s="134"/>
      <c r="AI36" s="134"/>
      <c r="AJ36" s="134"/>
      <c r="AK36" s="133"/>
      <c r="AL36" s="133"/>
      <c r="AM36" s="133"/>
      <c r="AN36" s="133"/>
      <c r="AO36" s="133"/>
      <c r="AP36" s="133"/>
      <c r="AQ36" s="133"/>
      <c r="AR36" s="134">
        <f>AG36</f>
        <v>-9609</v>
      </c>
      <c r="AS36" s="88"/>
    </row>
    <row r="37" spans="1:45" ht="11.25">
      <c r="A37" s="132" t="s">
        <v>162</v>
      </c>
      <c r="B37" s="133"/>
      <c r="C37" s="133"/>
      <c r="D37" s="133"/>
      <c r="E37" s="133"/>
      <c r="F37" s="133"/>
      <c r="G37" s="133"/>
      <c r="H37" s="133"/>
      <c r="I37" s="133"/>
      <c r="J37" s="134">
        <v>-299928</v>
      </c>
      <c r="K37" s="134">
        <v>-299928</v>
      </c>
      <c r="L37" s="134">
        <v>-299928</v>
      </c>
      <c r="M37" s="134">
        <v>-299928</v>
      </c>
      <c r="N37" s="134"/>
      <c r="O37" s="134"/>
      <c r="P37" s="134"/>
      <c r="Q37" s="134"/>
      <c r="R37" s="134"/>
      <c r="S37" s="134"/>
      <c r="T37" s="134"/>
      <c r="U37" s="134"/>
      <c r="V37" s="134"/>
      <c r="W37" s="134">
        <v>-150000</v>
      </c>
      <c r="X37" s="134">
        <v>-41751</v>
      </c>
      <c r="Y37" s="134">
        <v>-41751</v>
      </c>
      <c r="Z37" s="134"/>
      <c r="AA37" s="134">
        <v>-156510</v>
      </c>
      <c r="AB37" s="134">
        <v>-156510</v>
      </c>
      <c r="AC37" s="134">
        <v>-156510</v>
      </c>
      <c r="AD37" s="134"/>
      <c r="AE37" s="134"/>
      <c r="AF37" s="134"/>
      <c r="AG37" s="134"/>
      <c r="AH37" s="134"/>
      <c r="AI37" s="134"/>
      <c r="AJ37" s="134"/>
      <c r="AK37" s="133"/>
      <c r="AL37" s="133"/>
      <c r="AM37" s="133">
        <v>-299928</v>
      </c>
      <c r="AN37" s="133"/>
      <c r="AO37" s="133"/>
      <c r="AP37" s="133">
        <f>Y37</f>
        <v>-41751</v>
      </c>
      <c r="AQ37" s="133">
        <f>AC37</f>
        <v>-156510</v>
      </c>
      <c r="AR37" s="134"/>
      <c r="AS37" s="112"/>
    </row>
    <row r="38" spans="1:45" s="112" customFormat="1" ht="11.25">
      <c r="A38" s="132" t="s">
        <v>48</v>
      </c>
      <c r="B38" s="133"/>
      <c r="C38" s="133"/>
      <c r="D38" s="133"/>
      <c r="E38" s="133">
        <v>-805503</v>
      </c>
      <c r="F38" s="133"/>
      <c r="G38" s="133"/>
      <c r="H38" s="133"/>
      <c r="I38" s="133"/>
      <c r="J38" s="134"/>
      <c r="K38" s="134"/>
      <c r="L38" s="134"/>
      <c r="M38" s="134">
        <v>-6488</v>
      </c>
      <c r="N38" s="134"/>
      <c r="O38" s="134"/>
      <c r="P38" s="134"/>
      <c r="Q38" s="134"/>
      <c r="R38" s="134"/>
      <c r="S38" s="134"/>
      <c r="T38" s="134"/>
      <c r="AJ38" s="134"/>
      <c r="AK38" s="133">
        <v>-805503</v>
      </c>
      <c r="AL38" s="133"/>
      <c r="AM38" s="133">
        <v>-6488</v>
      </c>
      <c r="AN38" s="133"/>
      <c r="AO38" s="133"/>
      <c r="AP38" s="133"/>
      <c r="AQ38" s="133"/>
      <c r="AS38" s="88"/>
    </row>
    <row r="39" spans="1:44" ht="11.25" customHeight="1">
      <c r="A39" s="132" t="s">
        <v>142</v>
      </c>
      <c r="B39" s="133"/>
      <c r="C39" s="133"/>
      <c r="D39" s="133"/>
      <c r="E39" s="133"/>
      <c r="F39" s="133"/>
      <c r="G39" s="133"/>
      <c r="H39" s="133"/>
      <c r="I39" s="133">
        <v>24038</v>
      </c>
      <c r="J39" s="134"/>
      <c r="K39" s="134">
        <v>297905</v>
      </c>
      <c r="L39" s="134">
        <v>297905</v>
      </c>
      <c r="M39" s="134">
        <v>297905</v>
      </c>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3"/>
      <c r="AL39" s="133">
        <v>24038</v>
      </c>
      <c r="AM39" s="134">
        <v>297905</v>
      </c>
      <c r="AN39" s="134"/>
      <c r="AO39" s="134"/>
      <c r="AP39" s="134"/>
      <c r="AQ39" s="134"/>
      <c r="AR39" s="134"/>
    </row>
    <row r="40" spans="1:44" ht="12" customHeight="1">
      <c r="A40" s="136" t="s">
        <v>49</v>
      </c>
      <c r="B40" s="133"/>
      <c r="C40" s="133"/>
      <c r="D40" s="133">
        <v>274563</v>
      </c>
      <c r="E40" s="133">
        <v>302526</v>
      </c>
      <c r="F40" s="133"/>
      <c r="G40" s="133"/>
      <c r="H40" s="133"/>
      <c r="I40" s="133"/>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3">
        <v>302526</v>
      </c>
      <c r="AL40" s="133"/>
      <c r="AM40" s="133"/>
      <c r="AN40" s="133"/>
      <c r="AO40" s="133"/>
      <c r="AP40" s="133"/>
      <c r="AQ40" s="133"/>
      <c r="AR40" s="134"/>
    </row>
    <row r="41" spans="1:45" ht="11.25">
      <c r="A41" s="132" t="s">
        <v>50</v>
      </c>
      <c r="B41" s="133"/>
      <c r="C41" s="133"/>
      <c r="D41" s="133"/>
      <c r="E41" s="133"/>
      <c r="F41" s="133">
        <v>37124</v>
      </c>
      <c r="G41" s="133">
        <v>37442</v>
      </c>
      <c r="H41" s="133">
        <v>37720</v>
      </c>
      <c r="I41" s="133">
        <v>37089</v>
      </c>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3"/>
      <c r="AL41" s="133">
        <v>37089</v>
      </c>
      <c r="AM41" s="133"/>
      <c r="AN41" s="133"/>
      <c r="AO41" s="133"/>
      <c r="AP41" s="133"/>
      <c r="AQ41" s="133"/>
      <c r="AR41" s="134"/>
      <c r="AS41" s="7"/>
    </row>
    <row r="42" spans="1:44" s="7" customFormat="1" ht="11.25">
      <c r="A42" s="136" t="s">
        <v>51</v>
      </c>
      <c r="B42" s="133">
        <v>2744</v>
      </c>
      <c r="C42" s="133">
        <v>2926</v>
      </c>
      <c r="D42" s="133">
        <v>9475</v>
      </c>
      <c r="E42" s="133">
        <v>15565</v>
      </c>
      <c r="F42" s="133">
        <v>1690</v>
      </c>
      <c r="G42" s="133">
        <v>6977</v>
      </c>
      <c r="H42" s="133">
        <v>7256</v>
      </c>
      <c r="I42" s="133">
        <v>12278</v>
      </c>
      <c r="J42" s="134">
        <v>4178</v>
      </c>
      <c r="K42" s="134">
        <v>6209</v>
      </c>
      <c r="L42" s="134">
        <v>7819</v>
      </c>
      <c r="M42" s="134">
        <v>9789</v>
      </c>
      <c r="N42" s="134">
        <v>1559</v>
      </c>
      <c r="O42" s="134">
        <v>5053</v>
      </c>
      <c r="P42" s="134">
        <v>10403</v>
      </c>
      <c r="Q42" s="134">
        <v>12719</v>
      </c>
      <c r="R42" s="134">
        <v>3095</v>
      </c>
      <c r="S42" s="134">
        <v>5764</v>
      </c>
      <c r="T42" s="134">
        <v>14693</v>
      </c>
      <c r="U42" s="134">
        <v>26362</v>
      </c>
      <c r="V42" s="134">
        <v>5290</v>
      </c>
      <c r="W42" s="134">
        <v>7274</v>
      </c>
      <c r="X42" s="134">
        <v>15958</v>
      </c>
      <c r="Y42" s="134">
        <v>26980</v>
      </c>
      <c r="Z42" s="134">
        <v>2956</v>
      </c>
      <c r="AA42" s="134">
        <v>9961</v>
      </c>
      <c r="AB42" s="134">
        <v>23861</v>
      </c>
      <c r="AC42" s="134">
        <v>28692</v>
      </c>
      <c r="AD42" s="134">
        <v>1424</v>
      </c>
      <c r="AE42" s="134">
        <v>1300</v>
      </c>
      <c r="AF42" s="134">
        <v>3028</v>
      </c>
      <c r="AG42" s="134">
        <v>6371</v>
      </c>
      <c r="AH42" s="134">
        <v>3563</v>
      </c>
      <c r="AI42" s="134">
        <v>6373</v>
      </c>
      <c r="AJ42" s="134"/>
      <c r="AK42" s="133">
        <v>15565</v>
      </c>
      <c r="AL42" s="133">
        <v>12278</v>
      </c>
      <c r="AM42" s="133">
        <v>9789</v>
      </c>
      <c r="AN42" s="133">
        <f>Q42</f>
        <v>12719</v>
      </c>
      <c r="AO42" s="133">
        <f>U42</f>
        <v>26362</v>
      </c>
      <c r="AP42" s="133">
        <f>Y42</f>
        <v>26980</v>
      </c>
      <c r="AQ42" s="133">
        <f>AC42</f>
        <v>28692</v>
      </c>
      <c r="AR42" s="134">
        <f>AG42</f>
        <v>6371</v>
      </c>
    </row>
    <row r="43" spans="1:45" s="7" customFormat="1" ht="11.25">
      <c r="A43" s="136" t="s">
        <v>52</v>
      </c>
      <c r="B43" s="133">
        <v>-91193</v>
      </c>
      <c r="C43" s="133">
        <v>-239845</v>
      </c>
      <c r="D43" s="133">
        <v>-415320</v>
      </c>
      <c r="E43" s="133">
        <v>-618677</v>
      </c>
      <c r="F43" s="133">
        <v>-173196</v>
      </c>
      <c r="G43" s="133">
        <v>-395420</v>
      </c>
      <c r="H43" s="133">
        <v>-616015</v>
      </c>
      <c r="I43" s="133">
        <v>-957719</v>
      </c>
      <c r="J43" s="134">
        <v>-355244</v>
      </c>
      <c r="K43" s="134">
        <v>-822424</v>
      </c>
      <c r="L43" s="134">
        <v>-1447755</v>
      </c>
      <c r="M43" s="134">
        <v>-1934274</v>
      </c>
      <c r="N43" s="134">
        <v>-203038</v>
      </c>
      <c r="O43" s="134">
        <v>-413847</v>
      </c>
      <c r="P43" s="134">
        <v>-707652</v>
      </c>
      <c r="Q43" s="134">
        <v>-1120777</v>
      </c>
      <c r="R43" s="134">
        <v>-234440</v>
      </c>
      <c r="S43" s="134">
        <v>-612276</v>
      </c>
      <c r="T43" s="134">
        <v>-983324</v>
      </c>
      <c r="U43" s="134">
        <v>-1463209</v>
      </c>
      <c r="V43" s="134">
        <v>-386561</v>
      </c>
      <c r="W43" s="134">
        <v>-921615</v>
      </c>
      <c r="X43" s="134">
        <v>-1528985</v>
      </c>
      <c r="Y43" s="134">
        <v>-2047852</v>
      </c>
      <c r="Z43" s="134">
        <v>-357546</v>
      </c>
      <c r="AA43" s="134">
        <v>-810378</v>
      </c>
      <c r="AB43" s="134">
        <v>-1157451</v>
      </c>
      <c r="AC43" s="134">
        <v>-1453386</v>
      </c>
      <c r="AD43" s="134">
        <v>-153753</v>
      </c>
      <c r="AE43" s="134">
        <v>-374979</v>
      </c>
      <c r="AF43" s="134">
        <v>-657880</v>
      </c>
      <c r="AG43" s="134">
        <v>-756290</v>
      </c>
      <c r="AH43" s="134">
        <v>-130664</v>
      </c>
      <c r="AI43" s="134">
        <v>-281230</v>
      </c>
      <c r="AJ43" s="134"/>
      <c r="AK43" s="133">
        <v>-618677</v>
      </c>
      <c r="AL43" s="133">
        <v>-957719</v>
      </c>
      <c r="AM43" s="133">
        <v>-1934274</v>
      </c>
      <c r="AN43" s="133">
        <f>Q43</f>
        <v>-1120777</v>
      </c>
      <c r="AO43" s="133">
        <f>U43</f>
        <v>-1463209</v>
      </c>
      <c r="AP43" s="133">
        <f>Y43</f>
        <v>-2047852</v>
      </c>
      <c r="AQ43" s="133">
        <f>AC43</f>
        <v>-1453386</v>
      </c>
      <c r="AR43" s="134">
        <f>AG43</f>
        <v>-756290</v>
      </c>
      <c r="AS43" s="88"/>
    </row>
    <row r="44" spans="1:45" ht="11.25">
      <c r="A44" s="132" t="s">
        <v>175</v>
      </c>
      <c r="B44" s="133"/>
      <c r="C44" s="133"/>
      <c r="D44" s="133"/>
      <c r="E44" s="133"/>
      <c r="F44" s="133"/>
      <c r="G44" s="133"/>
      <c r="H44" s="133"/>
      <c r="I44" s="133"/>
      <c r="J44" s="134"/>
      <c r="K44" s="134"/>
      <c r="L44" s="134"/>
      <c r="M44" s="134"/>
      <c r="N44" s="134">
        <v>-234000</v>
      </c>
      <c r="O44" s="134">
        <v>-234000</v>
      </c>
      <c r="P44" s="134">
        <v>-234000</v>
      </c>
      <c r="Q44" s="134">
        <v>-234000</v>
      </c>
      <c r="R44" s="134"/>
      <c r="S44" s="134"/>
      <c r="T44" s="134"/>
      <c r="U44" s="134"/>
      <c r="V44" s="134"/>
      <c r="W44" s="134"/>
      <c r="X44" s="134"/>
      <c r="Y44" s="134"/>
      <c r="Z44" s="134"/>
      <c r="AA44" s="134"/>
      <c r="AB44" s="134"/>
      <c r="AC44" s="134"/>
      <c r="AD44" s="134"/>
      <c r="AE44" s="134"/>
      <c r="AF44" s="134"/>
      <c r="AG44" s="134"/>
      <c r="AH44" s="134"/>
      <c r="AI44" s="134"/>
      <c r="AJ44" s="134"/>
      <c r="AK44" s="133"/>
      <c r="AL44" s="133"/>
      <c r="AM44" s="133"/>
      <c r="AN44" s="133">
        <f>Q44</f>
        <v>-234000</v>
      </c>
      <c r="AO44" s="133"/>
      <c r="AP44" s="133"/>
      <c r="AQ44" s="133"/>
      <c r="AR44" s="134"/>
      <c r="AS44" s="7"/>
    </row>
    <row r="45" spans="1:44" s="7" customFormat="1" ht="11.25">
      <c r="A45" s="132" t="s">
        <v>53</v>
      </c>
      <c r="B45" s="133">
        <v>402728</v>
      </c>
      <c r="C45" s="133">
        <v>419647</v>
      </c>
      <c r="D45" s="133">
        <v>450493</v>
      </c>
      <c r="E45" s="133">
        <v>465274</v>
      </c>
      <c r="F45" s="133">
        <v>3719</v>
      </c>
      <c r="G45" s="133">
        <v>6449</v>
      </c>
      <c r="H45" s="133">
        <v>6422</v>
      </c>
      <c r="I45" s="133">
        <v>11606</v>
      </c>
      <c r="J45" s="134">
        <v>21238</v>
      </c>
      <c r="K45" s="134">
        <v>19671</v>
      </c>
      <c r="L45" s="134">
        <v>94337</v>
      </c>
      <c r="M45" s="134">
        <v>95803</v>
      </c>
      <c r="N45" s="134">
        <v>34</v>
      </c>
      <c r="O45" s="134">
        <v>143172</v>
      </c>
      <c r="P45" s="134">
        <v>502047</v>
      </c>
      <c r="Q45" s="134">
        <v>510336</v>
      </c>
      <c r="R45" s="134">
        <v>12109</v>
      </c>
      <c r="S45" s="134">
        <v>47595</v>
      </c>
      <c r="T45" s="134">
        <v>147736</v>
      </c>
      <c r="U45" s="134">
        <v>450255</v>
      </c>
      <c r="V45" s="134">
        <v>428814</v>
      </c>
      <c r="W45" s="134">
        <v>517435</v>
      </c>
      <c r="X45" s="134">
        <v>691308</v>
      </c>
      <c r="Y45" s="134">
        <v>717539</v>
      </c>
      <c r="Z45" s="134">
        <v>239173</v>
      </c>
      <c r="AA45" s="134"/>
      <c r="AB45" s="134">
        <v>260743</v>
      </c>
      <c r="AC45" s="134">
        <v>283044</v>
      </c>
      <c r="AD45" s="134">
        <v>8508</v>
      </c>
      <c r="AE45" s="134">
        <v>8571</v>
      </c>
      <c r="AF45" s="134">
        <v>19311</v>
      </c>
      <c r="AG45" s="134">
        <v>-87368</v>
      </c>
      <c r="AH45" s="134">
        <v>-69331</v>
      </c>
      <c r="AI45" s="134">
        <v>-58107</v>
      </c>
      <c r="AJ45" s="134"/>
      <c r="AK45" s="133">
        <v>465274</v>
      </c>
      <c r="AL45" s="133">
        <v>11606</v>
      </c>
      <c r="AM45" s="133">
        <v>95803</v>
      </c>
      <c r="AN45" s="133">
        <f>Q45</f>
        <v>510336</v>
      </c>
      <c r="AO45" s="133">
        <f>U45</f>
        <v>450255</v>
      </c>
      <c r="AP45" s="133">
        <f>Y45</f>
        <v>717539</v>
      </c>
      <c r="AQ45" s="133">
        <f>AC45</f>
        <v>283044</v>
      </c>
      <c r="AR45" s="134">
        <f>AG45</f>
        <v>-87368</v>
      </c>
    </row>
    <row r="46" spans="1:44" s="7" customFormat="1" ht="11.25">
      <c r="A46" s="132" t="s">
        <v>249</v>
      </c>
      <c r="B46" s="133"/>
      <c r="C46" s="133"/>
      <c r="D46" s="133"/>
      <c r="E46" s="133"/>
      <c r="F46" s="133"/>
      <c r="G46" s="133"/>
      <c r="H46" s="133"/>
      <c r="I46" s="133"/>
      <c r="J46" s="134"/>
      <c r="K46" s="134"/>
      <c r="L46" s="134"/>
      <c r="M46" s="134"/>
      <c r="N46" s="134"/>
      <c r="O46" s="134"/>
      <c r="P46" s="134"/>
      <c r="Q46" s="134"/>
      <c r="R46" s="134"/>
      <c r="S46" s="134"/>
      <c r="T46" s="134"/>
      <c r="U46" s="134"/>
      <c r="V46" s="134"/>
      <c r="W46" s="134"/>
      <c r="X46" s="134"/>
      <c r="Y46" s="134"/>
      <c r="Z46" s="134"/>
      <c r="AA46" s="134">
        <v>230953</v>
      </c>
      <c r="AB46" s="134"/>
      <c r="AC46" s="134"/>
      <c r="AD46" s="134"/>
      <c r="AE46" s="134">
        <v>306</v>
      </c>
      <c r="AF46" s="134">
        <v>-403089</v>
      </c>
      <c r="AG46" s="134">
        <v>-264412</v>
      </c>
      <c r="AH46" s="134">
        <v>-183318</v>
      </c>
      <c r="AI46" s="134">
        <v>-322510</v>
      </c>
      <c r="AJ46" s="134"/>
      <c r="AK46" s="133"/>
      <c r="AL46" s="133"/>
      <c r="AM46" s="133"/>
      <c r="AN46" s="133"/>
      <c r="AO46" s="133"/>
      <c r="AP46" s="133"/>
      <c r="AQ46" s="133"/>
      <c r="AR46" s="134">
        <f>AG46</f>
        <v>-264412</v>
      </c>
    </row>
    <row r="47" spans="1:44" s="7" customFormat="1" ht="11.25">
      <c r="A47" s="132" t="s">
        <v>182</v>
      </c>
      <c r="B47" s="133">
        <v>-27948</v>
      </c>
      <c r="C47" s="133">
        <v>-12416</v>
      </c>
      <c r="D47" s="133">
        <v>-44015</v>
      </c>
      <c r="E47" s="133">
        <v>-54758</v>
      </c>
      <c r="F47" s="133">
        <v>-35079</v>
      </c>
      <c r="G47" s="133">
        <v>-35670</v>
      </c>
      <c r="H47" s="133">
        <v>-45039</v>
      </c>
      <c r="I47" s="133">
        <v>-199469</v>
      </c>
      <c r="J47" s="134">
        <v>-19255</v>
      </c>
      <c r="K47" s="134">
        <v>-24503</v>
      </c>
      <c r="L47" s="134">
        <v>-32317</v>
      </c>
      <c r="M47" s="134">
        <v>-33386</v>
      </c>
      <c r="N47" s="134">
        <v>-306526</v>
      </c>
      <c r="O47" s="134">
        <v>-508434</v>
      </c>
      <c r="P47" s="134">
        <v>-511188</v>
      </c>
      <c r="Q47" s="134">
        <v>-536098</v>
      </c>
      <c r="R47" s="134">
        <v>-7993</v>
      </c>
      <c r="S47" s="134">
        <v>-118143</v>
      </c>
      <c r="T47" s="134">
        <v>-730798</v>
      </c>
      <c r="U47" s="134">
        <v>-832472</v>
      </c>
      <c r="V47" s="134">
        <v>-250874</v>
      </c>
      <c r="W47" s="134">
        <v>-257846</v>
      </c>
      <c r="X47" s="134">
        <v>-270589</v>
      </c>
      <c r="Y47" s="134">
        <v>-523661</v>
      </c>
      <c r="Z47" s="134">
        <v>-7821</v>
      </c>
      <c r="AA47" s="134"/>
      <c r="AB47" s="134">
        <v>-33552</v>
      </c>
      <c r="AC47" s="134">
        <v>-144724</v>
      </c>
      <c r="AD47" s="134">
        <v>-159794</v>
      </c>
      <c r="AE47" s="134"/>
      <c r="AF47" s="134"/>
      <c r="AG47" s="134"/>
      <c r="AH47" s="134"/>
      <c r="AI47" s="134"/>
      <c r="AJ47" s="134"/>
      <c r="AK47" s="133">
        <v>-54758</v>
      </c>
      <c r="AL47" s="133">
        <v>-199469</v>
      </c>
      <c r="AM47" s="133">
        <v>-33386</v>
      </c>
      <c r="AN47" s="133">
        <f>Q47</f>
        <v>-536098</v>
      </c>
      <c r="AO47" s="133">
        <f>U47</f>
        <v>-832472</v>
      </c>
      <c r="AP47" s="133">
        <f>Y47</f>
        <v>-523661</v>
      </c>
      <c r="AQ47" s="133">
        <f>AC47</f>
        <v>-144724</v>
      </c>
      <c r="AR47" s="134"/>
    </row>
    <row r="48" spans="1:43" s="7" customFormat="1" ht="11.25">
      <c r="A48" s="132" t="s">
        <v>250</v>
      </c>
      <c r="B48" s="133"/>
      <c r="C48" s="133"/>
      <c r="D48" s="133"/>
      <c r="E48" s="133"/>
      <c r="F48" s="133"/>
      <c r="G48" s="133"/>
      <c r="H48" s="133"/>
      <c r="I48" s="133"/>
      <c r="J48" s="134"/>
      <c r="K48" s="134"/>
      <c r="L48" s="134"/>
      <c r="M48" s="134"/>
      <c r="N48" s="134"/>
      <c r="O48" s="134"/>
      <c r="P48" s="134"/>
      <c r="Q48" s="134"/>
      <c r="R48" s="134"/>
      <c r="S48" s="134"/>
      <c r="T48" s="134"/>
      <c r="U48" s="134"/>
      <c r="V48" s="134"/>
      <c r="W48" s="134"/>
      <c r="X48" s="134"/>
      <c r="Y48" s="134"/>
      <c r="Z48" s="134"/>
      <c r="AA48" s="134">
        <v>-295</v>
      </c>
      <c r="AB48" s="134"/>
      <c r="AC48" s="134"/>
      <c r="AD48" s="134"/>
      <c r="AH48" s="134"/>
      <c r="AI48" s="134"/>
      <c r="AJ48" s="134"/>
      <c r="AK48" s="133"/>
      <c r="AL48" s="133"/>
      <c r="AM48" s="133"/>
      <c r="AN48" s="133"/>
      <c r="AO48" s="133"/>
      <c r="AP48" s="133"/>
      <c r="AQ48" s="133"/>
    </row>
    <row r="49" spans="1:44" s="7" customFormat="1" ht="11.25">
      <c r="A49" s="132" t="s">
        <v>257</v>
      </c>
      <c r="B49" s="133"/>
      <c r="C49" s="133"/>
      <c r="D49" s="133"/>
      <c r="E49" s="133"/>
      <c r="F49" s="133"/>
      <c r="G49" s="133"/>
      <c r="H49" s="133"/>
      <c r="I49" s="133"/>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v>46169</v>
      </c>
      <c r="AG49" s="134">
        <v>46169</v>
      </c>
      <c r="AH49" s="134"/>
      <c r="AI49" s="134"/>
      <c r="AJ49" s="134"/>
      <c r="AK49" s="133"/>
      <c r="AL49" s="133"/>
      <c r="AM49" s="133"/>
      <c r="AN49" s="133"/>
      <c r="AO49" s="133"/>
      <c r="AP49" s="133"/>
      <c r="AQ49" s="133"/>
      <c r="AR49" s="134">
        <f>AG49</f>
        <v>46169</v>
      </c>
    </row>
    <row r="50" spans="1:45" s="7" customFormat="1" ht="11.25">
      <c r="A50" s="132" t="s">
        <v>54</v>
      </c>
      <c r="B50" s="133"/>
      <c r="C50" s="133"/>
      <c r="D50" s="133"/>
      <c r="E50" s="133"/>
      <c r="F50" s="133"/>
      <c r="G50" s="133">
        <v>-133096</v>
      </c>
      <c r="H50" s="133">
        <v>-136520</v>
      </c>
      <c r="I50" s="133">
        <v>-134300</v>
      </c>
      <c r="J50" s="134"/>
      <c r="K50" s="134"/>
      <c r="L50" s="134"/>
      <c r="M50" s="134">
        <v>-12839</v>
      </c>
      <c r="N50" s="134">
        <v>-128532</v>
      </c>
      <c r="O50" s="134">
        <v>-316191</v>
      </c>
      <c r="P50" s="134">
        <v>-333500</v>
      </c>
      <c r="Q50" s="134">
        <v>-403592</v>
      </c>
      <c r="R50" s="134"/>
      <c r="S50" s="134"/>
      <c r="T50" s="134"/>
      <c r="U50" s="134"/>
      <c r="V50" s="134"/>
      <c r="W50" s="134"/>
      <c r="X50" s="134"/>
      <c r="Y50" s="134"/>
      <c r="Z50" s="134"/>
      <c r="AA50" s="134"/>
      <c r="AB50" s="134"/>
      <c r="AC50" s="134"/>
      <c r="AD50" s="134"/>
      <c r="AE50" s="134"/>
      <c r="AF50" s="134"/>
      <c r="AG50" s="134"/>
      <c r="AH50" s="134"/>
      <c r="AI50" s="134"/>
      <c r="AJ50" s="134"/>
      <c r="AK50" s="133"/>
      <c r="AL50" s="133">
        <v>-134300</v>
      </c>
      <c r="AM50" s="133">
        <v>-12839</v>
      </c>
      <c r="AN50" s="133">
        <f>Q50</f>
        <v>-403592</v>
      </c>
      <c r="AO50" s="133"/>
      <c r="AP50" s="133"/>
      <c r="AQ50" s="133"/>
      <c r="AR50" s="134"/>
      <c r="AS50" s="88"/>
    </row>
    <row r="51" spans="1:44" ht="11.25">
      <c r="A51" s="132" t="s">
        <v>161</v>
      </c>
      <c r="B51" s="133"/>
      <c r="C51" s="133"/>
      <c r="D51" s="133"/>
      <c r="E51" s="133"/>
      <c r="F51" s="133"/>
      <c r="G51" s="133">
        <v>-59407</v>
      </c>
      <c r="H51" s="133">
        <v>-59848</v>
      </c>
      <c r="I51" s="133">
        <v>-60063</v>
      </c>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3"/>
      <c r="AL51" s="133">
        <v>-60063</v>
      </c>
      <c r="AM51" s="133"/>
      <c r="AN51" s="133"/>
      <c r="AO51" s="133"/>
      <c r="AP51" s="133"/>
      <c r="AQ51" s="133"/>
      <c r="AR51" s="134"/>
    </row>
    <row r="52" spans="1:44" ht="9" customHeight="1">
      <c r="A52" s="132" t="s">
        <v>55</v>
      </c>
      <c r="B52" s="133">
        <v>96</v>
      </c>
      <c r="C52" s="133">
        <v>-417</v>
      </c>
      <c r="D52" s="133">
        <v>-1534</v>
      </c>
      <c r="E52" s="133">
        <v>339</v>
      </c>
      <c r="F52" s="133">
        <v>-766</v>
      </c>
      <c r="G52" s="133">
        <v>-1000</v>
      </c>
      <c r="H52" s="133">
        <v>-1007</v>
      </c>
      <c r="I52" s="133">
        <v>-1020</v>
      </c>
      <c r="J52" s="134"/>
      <c r="K52" s="134">
        <v>-12529</v>
      </c>
      <c r="L52" s="134">
        <v>-11645</v>
      </c>
      <c r="M52" s="134">
        <v>-1006</v>
      </c>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3">
        <v>339</v>
      </c>
      <c r="AL52" s="133">
        <v>-1020</v>
      </c>
      <c r="AM52" s="133">
        <v>-1006</v>
      </c>
      <c r="AN52" s="133"/>
      <c r="AO52" s="133"/>
      <c r="AP52" s="133"/>
      <c r="AQ52" s="133"/>
      <c r="AR52" s="134"/>
    </row>
    <row r="53" spans="1:44" ht="11.25">
      <c r="A53" s="137" t="s">
        <v>56</v>
      </c>
      <c r="B53" s="138">
        <v>227062</v>
      </c>
      <c r="C53" s="138">
        <v>-639760</v>
      </c>
      <c r="D53" s="138">
        <v>-1074401</v>
      </c>
      <c r="E53" s="138">
        <v>-2042779</v>
      </c>
      <c r="F53" s="138">
        <v>-166508</v>
      </c>
      <c r="G53" s="138">
        <v>-573725</v>
      </c>
      <c r="H53" s="138">
        <v>-807031</v>
      </c>
      <c r="I53" s="138">
        <v>-1267560</v>
      </c>
      <c r="J53" s="139">
        <v>-677180</v>
      </c>
      <c r="K53" s="139">
        <v>-961743</v>
      </c>
      <c r="L53" s="139">
        <v>-1552077</v>
      </c>
      <c r="M53" s="139">
        <v>-2398580</v>
      </c>
      <c r="N53" s="139">
        <v>-870503</v>
      </c>
      <c r="O53" s="139">
        <v>-1324247</v>
      </c>
      <c r="P53" s="139">
        <v>-1273890</v>
      </c>
      <c r="Q53" s="139">
        <v>-1771412</v>
      </c>
      <c r="R53" s="139">
        <v>-227229</v>
      </c>
      <c r="S53" s="139">
        <v>-677060</v>
      </c>
      <c r="T53" s="139">
        <v>-1551693</v>
      </c>
      <c r="U53" s="139">
        <v>-1847427</v>
      </c>
      <c r="V53" s="139">
        <v>-203331</v>
      </c>
      <c r="W53" s="139">
        <v>-804752</v>
      </c>
      <c r="X53" s="139">
        <v>-1134059</v>
      </c>
      <c r="Y53" s="139">
        <v>-1868745</v>
      </c>
      <c r="Z53" s="139">
        <v>-123238</v>
      </c>
      <c r="AA53" s="139">
        <f>SUM(AA35:AA52)</f>
        <v>-726269</v>
      </c>
      <c r="AB53" s="139">
        <v>-1062909</v>
      </c>
      <c r="AC53" s="139">
        <v>-1442884</v>
      </c>
      <c r="AD53" s="139">
        <f>SUM(AD35:AD52)</f>
        <v>-313224</v>
      </c>
      <c r="AE53" s="139">
        <f>SUM(AE35:AE52)</f>
        <v>-374411</v>
      </c>
      <c r="AF53" s="139">
        <f>SUM(AF35:AF52)</f>
        <v>-1002070</v>
      </c>
      <c r="AG53" s="139">
        <v>-1065139</v>
      </c>
      <c r="AH53" s="139">
        <v>-379750</v>
      </c>
      <c r="AI53" s="139">
        <v>-655474</v>
      </c>
      <c r="AJ53" s="139"/>
      <c r="AK53" s="138">
        <v>-2042779</v>
      </c>
      <c r="AL53" s="138">
        <v>-1267560</v>
      </c>
      <c r="AM53" s="138">
        <v>-2398580</v>
      </c>
      <c r="AN53" s="138">
        <f>Q53</f>
        <v>-1771412</v>
      </c>
      <c r="AO53" s="138">
        <f>U53</f>
        <v>-1847427</v>
      </c>
      <c r="AP53" s="138">
        <f>Y53</f>
        <v>-1868745</v>
      </c>
      <c r="AQ53" s="138">
        <f>AC53</f>
        <v>-1442884</v>
      </c>
      <c r="AR53" s="139">
        <f>AG53</f>
        <v>-1065139</v>
      </c>
    </row>
    <row r="54" spans="1:44" ht="11.25">
      <c r="A54" s="140"/>
      <c r="B54" s="130"/>
      <c r="C54" s="130"/>
      <c r="D54" s="130"/>
      <c r="E54" s="130"/>
      <c r="F54" s="130"/>
      <c r="G54" s="130"/>
      <c r="H54" s="130"/>
      <c r="I54" s="130"/>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0"/>
      <c r="AL54" s="130"/>
      <c r="AM54" s="130"/>
      <c r="AN54" s="130"/>
      <c r="AO54" s="130"/>
      <c r="AP54" s="130"/>
      <c r="AQ54" s="130"/>
      <c r="AR54" s="131"/>
    </row>
    <row r="55" spans="1:44" ht="11.25">
      <c r="A55" s="141" t="s">
        <v>57</v>
      </c>
      <c r="B55" s="130"/>
      <c r="C55" s="130"/>
      <c r="D55" s="130"/>
      <c r="E55" s="130"/>
      <c r="F55" s="130"/>
      <c r="G55" s="130"/>
      <c r="H55" s="130"/>
      <c r="I55" s="130"/>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0"/>
      <c r="AL55" s="130"/>
      <c r="AM55" s="130"/>
      <c r="AN55" s="130"/>
      <c r="AO55" s="130"/>
      <c r="AP55" s="130"/>
      <c r="AQ55" s="130"/>
      <c r="AR55" s="131"/>
    </row>
    <row r="56" spans="1:44" ht="11.25">
      <c r="A56" s="98" t="s">
        <v>58</v>
      </c>
      <c r="B56" s="107">
        <v>8096</v>
      </c>
      <c r="C56" s="107">
        <v>8391</v>
      </c>
      <c r="D56" s="107">
        <v>12026</v>
      </c>
      <c r="E56" s="107">
        <v>224870</v>
      </c>
      <c r="F56" s="107">
        <v>22689</v>
      </c>
      <c r="G56" s="107">
        <v>30118</v>
      </c>
      <c r="H56" s="107">
        <v>39956</v>
      </c>
      <c r="I56" s="107">
        <v>268844</v>
      </c>
      <c r="J56" s="108">
        <v>853254</v>
      </c>
      <c r="K56" s="108">
        <v>937238</v>
      </c>
      <c r="L56" s="109">
        <v>3555504</v>
      </c>
      <c r="M56" s="109">
        <v>3735078</v>
      </c>
      <c r="N56" s="109">
        <v>262905</v>
      </c>
      <c r="O56" s="109">
        <v>374288</v>
      </c>
      <c r="P56" s="108">
        <v>570813</v>
      </c>
      <c r="Q56" s="108">
        <v>1076756</v>
      </c>
      <c r="R56" s="108">
        <v>481999</v>
      </c>
      <c r="S56" s="108">
        <v>538594</v>
      </c>
      <c r="T56" s="108">
        <v>819647</v>
      </c>
      <c r="U56" s="108">
        <v>933873</v>
      </c>
      <c r="V56" s="108">
        <v>14677</v>
      </c>
      <c r="W56" s="108">
        <v>249839</v>
      </c>
      <c r="X56" s="108">
        <v>829950</v>
      </c>
      <c r="Y56" s="108">
        <v>1967362</v>
      </c>
      <c r="Z56" s="108">
        <v>86256</v>
      </c>
      <c r="AA56" s="108">
        <v>436595</v>
      </c>
      <c r="AB56" s="108">
        <v>1319717</v>
      </c>
      <c r="AC56" s="108">
        <v>1819425</v>
      </c>
      <c r="AD56" s="108">
        <v>852323</v>
      </c>
      <c r="AE56" s="108">
        <v>1213946</v>
      </c>
      <c r="AF56" s="108">
        <v>1663967</v>
      </c>
      <c r="AG56" s="108">
        <v>2005458</v>
      </c>
      <c r="AH56" s="108">
        <v>1972</v>
      </c>
      <c r="AI56" s="108">
        <v>11169</v>
      </c>
      <c r="AJ56" s="108"/>
      <c r="AK56" s="107">
        <v>224870</v>
      </c>
      <c r="AL56" s="107">
        <v>268844</v>
      </c>
      <c r="AM56" s="107">
        <v>3735078</v>
      </c>
      <c r="AN56" s="107">
        <f>Q56</f>
        <v>1076756</v>
      </c>
      <c r="AO56" s="107">
        <f>U56</f>
        <v>933873</v>
      </c>
      <c r="AP56" s="107">
        <f>Y56</f>
        <v>1967362</v>
      </c>
      <c r="AQ56" s="107">
        <f>AC56</f>
        <v>1819425</v>
      </c>
      <c r="AR56" s="108">
        <f>AG56</f>
        <v>2005458</v>
      </c>
    </row>
    <row r="57" spans="1:44" ht="11.25">
      <c r="A57" s="98" t="s">
        <v>59</v>
      </c>
      <c r="B57" s="107">
        <v>-14870</v>
      </c>
      <c r="C57" s="107">
        <v>-93156</v>
      </c>
      <c r="D57" s="107">
        <v>-126862</v>
      </c>
      <c r="E57" s="107">
        <v>-183305</v>
      </c>
      <c r="F57" s="107">
        <v>-170343</v>
      </c>
      <c r="G57" s="107">
        <v>-225372</v>
      </c>
      <c r="H57" s="107">
        <v>-259029</v>
      </c>
      <c r="I57" s="107">
        <v>-451802</v>
      </c>
      <c r="J57" s="108">
        <v>-438492</v>
      </c>
      <c r="K57" s="108">
        <v>-976767</v>
      </c>
      <c r="L57" s="109">
        <v>-1741630</v>
      </c>
      <c r="M57" s="109">
        <v>-2248720</v>
      </c>
      <c r="N57" s="109">
        <v>-320770</v>
      </c>
      <c r="O57" s="109">
        <v>-505774</v>
      </c>
      <c r="P57" s="108">
        <v>-1011281</v>
      </c>
      <c r="Q57" s="108">
        <v>-1540242</v>
      </c>
      <c r="R57" s="108">
        <v>-460455</v>
      </c>
      <c r="S57" s="108">
        <v>-610307</v>
      </c>
      <c r="T57" s="108">
        <v>-673877</v>
      </c>
      <c r="U57" s="108">
        <v>-802143</v>
      </c>
      <c r="V57" s="108">
        <v>-122554</v>
      </c>
      <c r="W57" s="108">
        <v>-354093</v>
      </c>
      <c r="X57" s="108">
        <v>-1171552</v>
      </c>
      <c r="Y57" s="108">
        <v>-1683536</v>
      </c>
      <c r="Z57" s="108">
        <v>-264259</v>
      </c>
      <c r="AA57" s="108">
        <v>-384076</v>
      </c>
      <c r="AB57" s="108">
        <v>-551416</v>
      </c>
      <c r="AC57" s="108">
        <v>-1798836</v>
      </c>
      <c r="AD57" s="108">
        <v>-553061</v>
      </c>
      <c r="AE57" s="108">
        <v>-1064811</v>
      </c>
      <c r="AF57" s="108">
        <v>-1665923</v>
      </c>
      <c r="AG57" s="108">
        <v>-1995800</v>
      </c>
      <c r="AH57" s="108">
        <v>-148632</v>
      </c>
      <c r="AI57" s="108">
        <v>-292559</v>
      </c>
      <c r="AJ57" s="108"/>
      <c r="AK57" s="107">
        <v>-183305</v>
      </c>
      <c r="AL57" s="107">
        <v>-451802</v>
      </c>
      <c r="AM57" s="107">
        <v>-2248720</v>
      </c>
      <c r="AN57" s="107">
        <f>Q57</f>
        <v>-1540242</v>
      </c>
      <c r="AO57" s="107">
        <f>U57</f>
        <v>-802143</v>
      </c>
      <c r="AP57" s="107">
        <f>Y57</f>
        <v>-1683536</v>
      </c>
      <c r="AQ57" s="107">
        <f>AC57</f>
        <v>-1798836</v>
      </c>
      <c r="AR57" s="108">
        <f>AG57</f>
        <v>-1995800</v>
      </c>
    </row>
    <row r="58" spans="1:44" ht="11.25">
      <c r="A58" s="98" t="s">
        <v>60</v>
      </c>
      <c r="B58" s="107"/>
      <c r="C58" s="107"/>
      <c r="D58" s="107"/>
      <c r="E58" s="107">
        <v>-379</v>
      </c>
      <c r="F58" s="107">
        <v>-739</v>
      </c>
      <c r="G58" s="107">
        <v>-1522</v>
      </c>
      <c r="H58" s="107">
        <v>-2059</v>
      </c>
      <c r="I58" s="107">
        <v>-3066</v>
      </c>
      <c r="J58" s="108">
        <v>-8980</v>
      </c>
      <c r="K58" s="108">
        <v>-53374</v>
      </c>
      <c r="L58" s="109">
        <v>-73054</v>
      </c>
      <c r="M58" s="109">
        <v>-90675</v>
      </c>
      <c r="N58" s="109">
        <v>-17647</v>
      </c>
      <c r="O58" s="109">
        <v>-26679</v>
      </c>
      <c r="P58" s="108">
        <v>-38635</v>
      </c>
      <c r="Q58" s="108">
        <v>-69094</v>
      </c>
      <c r="R58" s="108">
        <v>-16626</v>
      </c>
      <c r="S58" s="108">
        <v>-26251</v>
      </c>
      <c r="T58" s="108">
        <v>-36734</v>
      </c>
      <c r="U58" s="108">
        <v>-46356</v>
      </c>
      <c r="V58" s="108">
        <v>-12880</v>
      </c>
      <c r="W58" s="108">
        <v>-25458</v>
      </c>
      <c r="X58" s="108">
        <v>-29805</v>
      </c>
      <c r="Y58" s="108">
        <v>-32525</v>
      </c>
      <c r="Z58" s="108">
        <v>-4818</v>
      </c>
      <c r="AA58" s="108">
        <v>-10719</v>
      </c>
      <c r="AB58" s="108">
        <v>-17200</v>
      </c>
      <c r="AC58" s="108">
        <v>-23116</v>
      </c>
      <c r="AD58" s="108">
        <v>-7021</v>
      </c>
      <c r="AE58" s="108">
        <v>-12551</v>
      </c>
      <c r="AF58" s="108">
        <v>-19495</v>
      </c>
      <c r="AG58" s="108">
        <v>-24400</v>
      </c>
      <c r="AH58" s="108">
        <v>-5750</v>
      </c>
      <c r="AI58" s="108">
        <v>-11405</v>
      </c>
      <c r="AJ58" s="108"/>
      <c r="AK58" s="107">
        <v>-379</v>
      </c>
      <c r="AL58" s="107">
        <v>-3066</v>
      </c>
      <c r="AM58" s="107">
        <v>-90675</v>
      </c>
      <c r="AN58" s="107">
        <f>Q58</f>
        <v>-69094</v>
      </c>
      <c r="AO58" s="107">
        <f>U58</f>
        <v>-46356</v>
      </c>
      <c r="AP58" s="107">
        <f>Y58</f>
        <v>-32525</v>
      </c>
      <c r="AQ58" s="107">
        <f>AC58</f>
        <v>-23116</v>
      </c>
      <c r="AR58" s="108">
        <f>AG58</f>
        <v>-24400</v>
      </c>
    </row>
    <row r="59" spans="1:44" ht="11.25">
      <c r="A59" s="136" t="s">
        <v>61</v>
      </c>
      <c r="B59" s="107"/>
      <c r="C59" s="107"/>
      <c r="D59" s="107"/>
      <c r="E59" s="107"/>
      <c r="F59" s="107">
        <v>78469</v>
      </c>
      <c r="G59" s="107">
        <v>78469</v>
      </c>
      <c r="H59" s="107">
        <v>78469</v>
      </c>
      <c r="I59" s="107">
        <v>78469</v>
      </c>
      <c r="J59" s="108"/>
      <c r="K59" s="108"/>
      <c r="L59" s="109"/>
      <c r="M59" s="109"/>
      <c r="N59" s="109"/>
      <c r="O59" s="109"/>
      <c r="P59" s="108"/>
      <c r="Q59" s="108"/>
      <c r="R59" s="108"/>
      <c r="S59" s="108"/>
      <c r="T59" s="108"/>
      <c r="U59" s="108"/>
      <c r="V59" s="108"/>
      <c r="W59" s="108">
        <v>313246</v>
      </c>
      <c r="X59" s="108">
        <v>313246</v>
      </c>
      <c r="Y59" s="108">
        <v>313246</v>
      </c>
      <c r="Z59" s="108"/>
      <c r="AA59" s="108"/>
      <c r="AB59" s="108"/>
      <c r="AC59" s="108"/>
      <c r="AD59" s="108"/>
      <c r="AE59" s="108"/>
      <c r="AF59" s="108"/>
      <c r="AG59" s="108"/>
      <c r="AH59" s="108"/>
      <c r="AI59" s="108"/>
      <c r="AJ59" s="108"/>
      <c r="AK59" s="107"/>
      <c r="AL59" s="107">
        <v>78469</v>
      </c>
      <c r="AM59" s="107"/>
      <c r="AN59" s="107"/>
      <c r="AO59" s="107"/>
      <c r="AP59" s="107">
        <f>Y59</f>
        <v>313246</v>
      </c>
      <c r="AQ59" s="107"/>
      <c r="AR59" s="108"/>
    </row>
    <row r="60" spans="1:44" ht="11.25">
      <c r="A60" s="132" t="s">
        <v>62</v>
      </c>
      <c r="B60" s="133"/>
      <c r="C60" s="133"/>
      <c r="D60" s="133"/>
      <c r="E60" s="133"/>
      <c r="F60" s="133"/>
      <c r="G60" s="133"/>
      <c r="H60" s="133"/>
      <c r="I60" s="133"/>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3"/>
      <c r="AL60" s="133"/>
      <c r="AM60" s="133"/>
      <c r="AN60" s="133"/>
      <c r="AO60" s="133"/>
      <c r="AP60" s="133"/>
      <c r="AQ60" s="133"/>
      <c r="AR60" s="134"/>
    </row>
    <row r="61" spans="1:44" ht="11.25">
      <c r="A61" s="132" t="s">
        <v>63</v>
      </c>
      <c r="B61" s="133">
        <v>-104000</v>
      </c>
      <c r="C61" s="133">
        <v>-104000</v>
      </c>
      <c r="D61" s="133">
        <v>-104000</v>
      </c>
      <c r="E61" s="133">
        <v>-104000</v>
      </c>
      <c r="F61" s="133"/>
      <c r="G61" s="133"/>
      <c r="H61" s="133"/>
      <c r="I61" s="133"/>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3">
        <v>-104000</v>
      </c>
      <c r="AL61" s="133"/>
      <c r="AM61" s="133"/>
      <c r="AN61" s="133"/>
      <c r="AO61" s="133"/>
      <c r="AP61" s="133"/>
      <c r="AQ61" s="133"/>
      <c r="AR61" s="134"/>
    </row>
    <row r="62" spans="1:44" ht="11.25">
      <c r="A62" s="132" t="s">
        <v>143</v>
      </c>
      <c r="B62" s="133"/>
      <c r="C62" s="133"/>
      <c r="D62" s="133"/>
      <c r="E62" s="133">
        <v>-83547</v>
      </c>
      <c r="F62" s="133"/>
      <c r="G62" s="133"/>
      <c r="H62" s="133"/>
      <c r="I62" s="133"/>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3">
        <v>-83547</v>
      </c>
      <c r="AL62" s="133"/>
      <c r="AM62" s="133"/>
      <c r="AN62" s="133"/>
      <c r="AO62" s="133"/>
      <c r="AP62" s="133"/>
      <c r="AQ62" s="133"/>
      <c r="AR62" s="134"/>
    </row>
    <row r="63" spans="1:44" ht="11.25">
      <c r="A63" s="132" t="s">
        <v>171</v>
      </c>
      <c r="B63" s="133"/>
      <c r="C63" s="133"/>
      <c r="D63" s="133"/>
      <c r="E63" s="133"/>
      <c r="F63" s="133"/>
      <c r="G63" s="133"/>
      <c r="H63" s="133"/>
      <c r="I63" s="133"/>
      <c r="J63" s="134"/>
      <c r="K63" s="134"/>
      <c r="L63" s="134"/>
      <c r="M63" s="134">
        <v>258182</v>
      </c>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3"/>
      <c r="AL63" s="133"/>
      <c r="AM63" s="133">
        <v>258182</v>
      </c>
      <c r="AN63" s="133"/>
      <c r="AO63" s="133"/>
      <c r="AP63" s="133"/>
      <c r="AQ63" s="133"/>
      <c r="AR63" s="134"/>
    </row>
    <row r="64" spans="1:44" ht="11.25">
      <c r="A64" s="132" t="s">
        <v>64</v>
      </c>
      <c r="B64" s="133"/>
      <c r="C64" s="133"/>
      <c r="D64" s="133"/>
      <c r="E64" s="133">
        <v>-20228</v>
      </c>
      <c r="F64" s="133"/>
      <c r="G64" s="133">
        <v>-8070</v>
      </c>
      <c r="H64" s="133">
        <v>-21553</v>
      </c>
      <c r="I64" s="133">
        <v>-19146</v>
      </c>
      <c r="J64" s="134">
        <v>-21</v>
      </c>
      <c r="K64" s="134">
        <v>-5628</v>
      </c>
      <c r="L64" s="134">
        <v>-11696</v>
      </c>
      <c r="M64" s="134">
        <v>-12324</v>
      </c>
      <c r="N64" s="134">
        <v>-4</v>
      </c>
      <c r="O64" s="134">
        <v>-4</v>
      </c>
      <c r="P64" s="134">
        <v>-4</v>
      </c>
      <c r="Q64" s="134">
        <v>-127</v>
      </c>
      <c r="R64" s="134"/>
      <c r="S64" s="134"/>
      <c r="T64" s="134"/>
      <c r="U64" s="134"/>
      <c r="V64" s="134"/>
      <c r="W64" s="134"/>
      <c r="X64" s="134"/>
      <c r="Y64" s="134"/>
      <c r="Z64" s="134"/>
      <c r="AA64" s="134"/>
      <c r="AB64" s="134"/>
      <c r="AC64" s="134"/>
      <c r="AD64" s="134"/>
      <c r="AE64" s="134"/>
      <c r="AF64" s="134"/>
      <c r="AG64" s="134"/>
      <c r="AH64" s="134"/>
      <c r="AI64" s="134"/>
      <c r="AJ64" s="134"/>
      <c r="AK64" s="133">
        <v>-20228</v>
      </c>
      <c r="AL64" s="133">
        <v>-19146</v>
      </c>
      <c r="AM64" s="133">
        <v>-12324</v>
      </c>
      <c r="AN64" s="133">
        <f>Q64</f>
        <v>-127</v>
      </c>
      <c r="AO64" s="133"/>
      <c r="AP64" s="133"/>
      <c r="AQ64" s="133"/>
      <c r="AR64" s="134"/>
    </row>
    <row r="65" spans="1:44" ht="11.25">
      <c r="A65" s="136" t="s">
        <v>65</v>
      </c>
      <c r="B65" s="133">
        <v>-398</v>
      </c>
      <c r="C65" s="133">
        <v>-336114</v>
      </c>
      <c r="D65" s="133">
        <v>-432376</v>
      </c>
      <c r="E65" s="133">
        <v>-766646</v>
      </c>
      <c r="F65" s="133">
        <v>-346</v>
      </c>
      <c r="G65" s="133">
        <v>-4258</v>
      </c>
      <c r="H65" s="133">
        <v>-347595</v>
      </c>
      <c r="I65" s="133">
        <v>-702983</v>
      </c>
      <c r="J65" s="134">
        <v>-252</v>
      </c>
      <c r="K65" s="134">
        <v>-3233</v>
      </c>
      <c r="L65" s="134">
        <v>-364506</v>
      </c>
      <c r="M65" s="134">
        <v>-842792</v>
      </c>
      <c r="N65" s="134">
        <v>-916</v>
      </c>
      <c r="O65" s="134">
        <v>-1031</v>
      </c>
      <c r="P65" s="134">
        <v>-1116</v>
      </c>
      <c r="Q65" s="134">
        <v>-1981</v>
      </c>
      <c r="R65" s="134">
        <v>-5</v>
      </c>
      <c r="S65" s="134">
        <v>-257</v>
      </c>
      <c r="T65" s="134">
        <v>-42965</v>
      </c>
      <c r="U65" s="134">
        <v>-164501</v>
      </c>
      <c r="V65" s="134">
        <v>-117</v>
      </c>
      <c r="W65" s="134">
        <v>-3748</v>
      </c>
      <c r="X65" s="134">
        <v>-247286</v>
      </c>
      <c r="Y65" s="134">
        <v>-516335</v>
      </c>
      <c r="Z65" s="134">
        <v>-133</v>
      </c>
      <c r="AA65" s="134">
        <v>-113835</v>
      </c>
      <c r="AB65" s="134">
        <v>-115880</v>
      </c>
      <c r="AC65" s="134">
        <v>-116529</v>
      </c>
      <c r="AD65" s="134">
        <v>-83</v>
      </c>
      <c r="AE65" s="134">
        <v>-110855</v>
      </c>
      <c r="AF65" s="134">
        <v>-113441</v>
      </c>
      <c r="AG65" s="134">
        <v>-113613</v>
      </c>
      <c r="AH65" s="134">
        <v>-16</v>
      </c>
      <c r="AI65" s="134">
        <v>-111193</v>
      </c>
      <c r="AJ65" s="134"/>
      <c r="AK65" s="133">
        <v>-766646</v>
      </c>
      <c r="AL65" s="133">
        <v>-702983</v>
      </c>
      <c r="AM65" s="133">
        <v>-842792</v>
      </c>
      <c r="AN65" s="133">
        <f>Q65</f>
        <v>-1981</v>
      </c>
      <c r="AO65" s="133">
        <f>U65</f>
        <v>-164501</v>
      </c>
      <c r="AP65" s="133">
        <f>Y65</f>
        <v>-516335</v>
      </c>
      <c r="AQ65" s="133">
        <f>AC65</f>
        <v>-116529</v>
      </c>
      <c r="AR65" s="134">
        <f>AG65</f>
        <v>-113613</v>
      </c>
    </row>
    <row r="66" spans="1:44" ht="11.25">
      <c r="A66" s="142" t="s">
        <v>66</v>
      </c>
      <c r="B66" s="138">
        <v>-111172</v>
      </c>
      <c r="C66" s="138">
        <v>-524879</v>
      </c>
      <c r="D66" s="138">
        <v>-651212</v>
      </c>
      <c r="E66" s="138">
        <v>-933235</v>
      </c>
      <c r="F66" s="138">
        <v>-70270</v>
      </c>
      <c r="G66" s="138">
        <v>-130635</v>
      </c>
      <c r="H66" s="138">
        <v>-511811</v>
      </c>
      <c r="I66" s="138">
        <v>-829684</v>
      </c>
      <c r="J66" s="139">
        <v>405509</v>
      </c>
      <c r="K66" s="139">
        <v>-101764</v>
      </c>
      <c r="L66" s="139">
        <v>1364618</v>
      </c>
      <c r="M66" s="139">
        <v>798749</v>
      </c>
      <c r="N66" s="139">
        <v>-76432</v>
      </c>
      <c r="O66" s="139">
        <v>-159200</v>
      </c>
      <c r="P66" s="139">
        <v>-480223</v>
      </c>
      <c r="Q66" s="139">
        <v>-534688</v>
      </c>
      <c r="R66" s="139">
        <v>4913</v>
      </c>
      <c r="S66" s="139">
        <v>-98221</v>
      </c>
      <c r="T66" s="139">
        <v>66071</v>
      </c>
      <c r="U66" s="139">
        <v>-79127</v>
      </c>
      <c r="V66" s="139">
        <v>-120874</v>
      </c>
      <c r="W66" s="139">
        <v>179786</v>
      </c>
      <c r="X66" s="139">
        <v>-305447</v>
      </c>
      <c r="Y66" s="139">
        <v>48212</v>
      </c>
      <c r="Z66" s="139">
        <v>-182954</v>
      </c>
      <c r="AA66" s="139">
        <f>SUM(AA56:AA65)</f>
        <v>-72035</v>
      </c>
      <c r="AB66" s="139">
        <v>635221</v>
      </c>
      <c r="AC66" s="139">
        <v>-119056</v>
      </c>
      <c r="AD66" s="139">
        <v>292158</v>
      </c>
      <c r="AE66" s="139">
        <f>SUM(AE56:AE65)</f>
        <v>25729</v>
      </c>
      <c r="AF66" s="139">
        <f>SUM(AF56:AF65)</f>
        <v>-134892</v>
      </c>
      <c r="AG66" s="139">
        <v>-128355</v>
      </c>
      <c r="AH66" s="139">
        <v>-152426</v>
      </c>
      <c r="AI66" s="139">
        <v>-403988</v>
      </c>
      <c r="AJ66" s="139"/>
      <c r="AK66" s="138">
        <v>-933235</v>
      </c>
      <c r="AL66" s="138">
        <v>-829684</v>
      </c>
      <c r="AM66" s="138">
        <v>798749</v>
      </c>
      <c r="AN66" s="138">
        <f>Q66</f>
        <v>-534688</v>
      </c>
      <c r="AO66" s="138">
        <f>U66</f>
        <v>-79127</v>
      </c>
      <c r="AP66" s="138">
        <f>Y66</f>
        <v>48212</v>
      </c>
      <c r="AQ66" s="138">
        <f>AC66</f>
        <v>-119056</v>
      </c>
      <c r="AR66" s="139">
        <f>AG66</f>
        <v>-128355</v>
      </c>
    </row>
    <row r="67" spans="1:44" ht="11.25">
      <c r="A67" s="140"/>
      <c r="B67" s="130"/>
      <c r="C67" s="130"/>
      <c r="D67" s="130"/>
      <c r="E67" s="130"/>
      <c r="F67" s="130"/>
      <c r="G67" s="130"/>
      <c r="H67" s="130"/>
      <c r="I67" s="130"/>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0"/>
      <c r="AL67" s="130"/>
      <c r="AM67" s="130"/>
      <c r="AN67" s="130"/>
      <c r="AO67" s="130"/>
      <c r="AR67" s="131"/>
    </row>
    <row r="68" spans="1:44" ht="11.25">
      <c r="A68" s="132" t="s">
        <v>144</v>
      </c>
      <c r="B68" s="133"/>
      <c r="C68" s="133"/>
      <c r="D68" s="133"/>
      <c r="E68" s="133"/>
      <c r="F68" s="133">
        <v>-136</v>
      </c>
      <c r="G68" s="133"/>
      <c r="H68" s="133"/>
      <c r="I68" s="133"/>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3"/>
      <c r="AL68" s="133"/>
      <c r="AM68" s="133"/>
      <c r="AN68" s="133"/>
      <c r="AO68" s="133"/>
      <c r="AP68" s="130"/>
      <c r="AQ68" s="130"/>
      <c r="AR68" s="134"/>
    </row>
    <row r="69" spans="1:44" ht="11.25">
      <c r="A69" s="143" t="s">
        <v>67</v>
      </c>
      <c r="B69" s="144">
        <v>274981</v>
      </c>
      <c r="C69" s="144">
        <v>-636862</v>
      </c>
      <c r="D69" s="144">
        <v>-696126</v>
      </c>
      <c r="E69" s="144">
        <v>-1390925</v>
      </c>
      <c r="F69" s="144">
        <v>222396</v>
      </c>
      <c r="G69" s="144">
        <v>662557</v>
      </c>
      <c r="H69" s="144">
        <v>660198</v>
      </c>
      <c r="I69" s="144">
        <v>426659</v>
      </c>
      <c r="J69" s="145">
        <v>-21605</v>
      </c>
      <c r="K69" s="145">
        <v>120658</v>
      </c>
      <c r="L69" s="145">
        <v>1700601</v>
      </c>
      <c r="M69" s="145">
        <v>1180931</v>
      </c>
      <c r="N69" s="145">
        <v>-564772</v>
      </c>
      <c r="O69" s="145">
        <v>-556282</v>
      </c>
      <c r="P69" s="145">
        <v>-503063</v>
      </c>
      <c r="Q69" s="145">
        <v>-911841</v>
      </c>
      <c r="R69" s="145">
        <v>-119596</v>
      </c>
      <c r="S69" s="145">
        <v>-326584</v>
      </c>
      <c r="T69" s="145">
        <v>-478978</v>
      </c>
      <c r="U69" s="145">
        <v>-495457</v>
      </c>
      <c r="V69" s="145">
        <v>218091</v>
      </c>
      <c r="W69" s="145">
        <v>201558</v>
      </c>
      <c r="X69" s="145">
        <v>45443</v>
      </c>
      <c r="Y69" s="145">
        <v>-15418</v>
      </c>
      <c r="Z69" s="145">
        <v>196117</v>
      </c>
      <c r="AA69" s="145">
        <f>AA66+AA53+AA29</f>
        <v>8447</v>
      </c>
      <c r="AB69" s="145">
        <v>1063482</v>
      </c>
      <c r="AC69" s="145">
        <v>262717</v>
      </c>
      <c r="AD69" s="145">
        <v>229655</v>
      </c>
      <c r="AE69" s="145">
        <f>AE66+AE53+AE29</f>
        <v>231840</v>
      </c>
      <c r="AF69" s="145">
        <f>AF66+AF53+AF32</f>
        <v>-149980</v>
      </c>
      <c r="AG69" s="145">
        <v>-16046</v>
      </c>
      <c r="AH69" s="145">
        <v>-130971</v>
      </c>
      <c r="AI69" s="145">
        <v>-40269</v>
      </c>
      <c r="AJ69" s="145"/>
      <c r="AK69" s="144">
        <v>-1390925</v>
      </c>
      <c r="AL69" s="144">
        <v>426659</v>
      </c>
      <c r="AM69" s="144">
        <v>1180931</v>
      </c>
      <c r="AN69" s="144">
        <f>Q69</f>
        <v>-911841</v>
      </c>
      <c r="AO69" s="144">
        <f>U69</f>
        <v>-495457</v>
      </c>
      <c r="AP69" s="144">
        <f>Y69</f>
        <v>-15418</v>
      </c>
      <c r="AQ69" s="144">
        <f>AC69</f>
        <v>262717</v>
      </c>
      <c r="AR69" s="145">
        <f>AG69</f>
        <v>-16046</v>
      </c>
    </row>
    <row r="70" spans="1:44" ht="11.25">
      <c r="A70" s="146"/>
      <c r="B70" s="114"/>
      <c r="C70" s="114"/>
      <c r="D70" s="114"/>
      <c r="E70" s="114"/>
      <c r="F70" s="114"/>
      <c r="G70" s="114"/>
      <c r="H70" s="114"/>
      <c r="I70" s="114"/>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4"/>
      <c r="AL70" s="114"/>
      <c r="AM70" s="114"/>
      <c r="AN70" s="114"/>
      <c r="AO70" s="114"/>
      <c r="AP70" s="114"/>
      <c r="AQ70" s="114"/>
      <c r="AR70" s="115"/>
    </row>
    <row r="71" spans="1:44" ht="11.25">
      <c r="A71" s="147" t="s">
        <v>68</v>
      </c>
      <c r="B71" s="148">
        <v>72135</v>
      </c>
      <c r="C71" s="148">
        <v>98307</v>
      </c>
      <c r="D71" s="148">
        <v>114414</v>
      </c>
      <c r="E71" s="148">
        <v>131990</v>
      </c>
      <c r="F71" s="148">
        <v>10700</v>
      </c>
      <c r="G71" s="148">
        <v>20786</v>
      </c>
      <c r="H71" s="148">
        <v>63057</v>
      </c>
      <c r="I71" s="148">
        <v>62769</v>
      </c>
      <c r="J71" s="149">
        <v>48338</v>
      </c>
      <c r="K71" s="149">
        <v>50043</v>
      </c>
      <c r="L71" s="149">
        <v>-119814</v>
      </c>
      <c r="M71" s="149">
        <v>-175583</v>
      </c>
      <c r="N71" s="149">
        <v>-49072</v>
      </c>
      <c r="O71" s="149">
        <v>-13196</v>
      </c>
      <c r="P71" s="149">
        <v>-15358</v>
      </c>
      <c r="Q71" s="149">
        <v>-1100</v>
      </c>
      <c r="R71" s="149">
        <v>29853</v>
      </c>
      <c r="S71" s="149">
        <v>32721</v>
      </c>
      <c r="T71" s="149">
        <v>11861</v>
      </c>
      <c r="U71" s="149">
        <v>-3612</v>
      </c>
      <c r="V71" s="149">
        <v>11280</v>
      </c>
      <c r="W71" s="149">
        <v>-38102</v>
      </c>
      <c r="X71" s="149">
        <v>36609</v>
      </c>
      <c r="Y71" s="149">
        <v>64608</v>
      </c>
      <c r="Z71" s="149">
        <v>-67574</v>
      </c>
      <c r="AA71" s="149">
        <v>-36457</v>
      </c>
      <c r="AB71" s="149">
        <v>-57766</v>
      </c>
      <c r="AC71" s="149">
        <v>-108639</v>
      </c>
      <c r="AD71" s="149">
        <v>38928</v>
      </c>
      <c r="AE71" s="149">
        <v>57637</v>
      </c>
      <c r="AF71" s="149">
        <v>34088</v>
      </c>
      <c r="AG71" s="149">
        <v>34791</v>
      </c>
      <c r="AH71" s="149">
        <v>-9087</v>
      </c>
      <c r="AI71" s="149">
        <v>9344</v>
      </c>
      <c r="AJ71" s="149"/>
      <c r="AK71" s="148">
        <v>131990</v>
      </c>
      <c r="AL71" s="148">
        <v>62769</v>
      </c>
      <c r="AM71" s="148">
        <v>-175583</v>
      </c>
      <c r="AN71" s="148">
        <f>Q71</f>
        <v>-1100</v>
      </c>
      <c r="AO71" s="148">
        <f>U71</f>
        <v>-3612</v>
      </c>
      <c r="AP71" s="148">
        <f>Y71</f>
        <v>64608</v>
      </c>
      <c r="AQ71" s="148">
        <f>AC71</f>
        <v>-108639</v>
      </c>
      <c r="AR71" s="149">
        <f>AG71</f>
        <v>34791</v>
      </c>
    </row>
    <row r="72" spans="1:44" ht="11.25">
      <c r="A72" s="146"/>
      <c r="B72" s="114"/>
      <c r="C72" s="114"/>
      <c r="D72" s="114"/>
      <c r="E72" s="114"/>
      <c r="F72" s="114"/>
      <c r="G72" s="114"/>
      <c r="H72" s="114"/>
      <c r="I72" s="114"/>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4"/>
      <c r="AL72" s="114"/>
      <c r="AM72" s="114"/>
      <c r="AN72" s="114"/>
      <c r="AO72" s="114"/>
      <c r="AP72" s="114"/>
      <c r="AQ72" s="114"/>
      <c r="AR72" s="115"/>
    </row>
    <row r="73" spans="1:44" ht="11.25">
      <c r="A73" s="150" t="s">
        <v>69</v>
      </c>
      <c r="B73" s="151">
        <v>1924148</v>
      </c>
      <c r="C73" s="151">
        <v>1924148</v>
      </c>
      <c r="D73" s="151">
        <v>1924148</v>
      </c>
      <c r="E73" s="151">
        <v>1924148</v>
      </c>
      <c r="F73" s="151">
        <v>665213</v>
      </c>
      <c r="G73" s="151">
        <v>665213</v>
      </c>
      <c r="H73" s="151">
        <v>665213</v>
      </c>
      <c r="I73" s="151">
        <v>665213</v>
      </c>
      <c r="J73" s="152">
        <v>1154641</v>
      </c>
      <c r="K73" s="152">
        <v>1154641</v>
      </c>
      <c r="L73" s="152">
        <v>1154641</v>
      </c>
      <c r="M73" s="152">
        <v>1154641</v>
      </c>
      <c r="N73" s="152">
        <v>2159989</v>
      </c>
      <c r="O73" s="152">
        <v>2159989</v>
      </c>
      <c r="P73" s="152">
        <v>2159989</v>
      </c>
      <c r="Q73" s="152">
        <v>2159989</v>
      </c>
      <c r="R73" s="152">
        <v>1247048</v>
      </c>
      <c r="S73" s="152">
        <v>1247048</v>
      </c>
      <c r="T73" s="152">
        <v>1247048</v>
      </c>
      <c r="U73" s="152">
        <v>1247048</v>
      </c>
      <c r="V73" s="152">
        <v>747979</v>
      </c>
      <c r="W73" s="152">
        <v>747979</v>
      </c>
      <c r="X73" s="152">
        <v>747979</v>
      </c>
      <c r="Y73" s="152">
        <v>747979</v>
      </c>
      <c r="Z73" s="152">
        <v>797169</v>
      </c>
      <c r="AA73" s="152">
        <f>Y75</f>
        <v>797169</v>
      </c>
      <c r="AB73" s="152">
        <v>797169</v>
      </c>
      <c r="AC73" s="152">
        <v>797169</v>
      </c>
      <c r="AD73" s="152">
        <v>951247</v>
      </c>
      <c r="AE73" s="152">
        <v>951247</v>
      </c>
      <c r="AF73" s="152">
        <v>951247</v>
      </c>
      <c r="AG73" s="152">
        <v>951247</v>
      </c>
      <c r="AH73" s="152">
        <v>969992</v>
      </c>
      <c r="AI73" s="152">
        <v>969992</v>
      </c>
      <c r="AJ73" s="152"/>
      <c r="AK73" s="151">
        <v>1924148</v>
      </c>
      <c r="AL73" s="151">
        <v>665213</v>
      </c>
      <c r="AM73" s="151">
        <v>1154641</v>
      </c>
      <c r="AN73" s="151">
        <f>Q73</f>
        <v>2159989</v>
      </c>
      <c r="AO73" s="151">
        <f>U73</f>
        <v>1247048</v>
      </c>
      <c r="AP73" s="151">
        <f>Y73</f>
        <v>747979</v>
      </c>
      <c r="AQ73" s="151">
        <f>AC73</f>
        <v>797169</v>
      </c>
      <c r="AR73" s="152">
        <f>AG73</f>
        <v>951247</v>
      </c>
    </row>
    <row r="74" spans="1:44" ht="11.25">
      <c r="A74" s="146"/>
      <c r="B74" s="114"/>
      <c r="C74" s="114"/>
      <c r="D74" s="114"/>
      <c r="E74" s="114"/>
      <c r="F74" s="114"/>
      <c r="G74" s="114"/>
      <c r="H74" s="114"/>
      <c r="I74" s="114"/>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4"/>
      <c r="AL74" s="114"/>
      <c r="AM74" s="114"/>
      <c r="AN74" s="114"/>
      <c r="AO74" s="114"/>
      <c r="AP74" s="114"/>
      <c r="AQ74" s="114"/>
      <c r="AR74" s="115"/>
    </row>
    <row r="75" spans="1:44" ht="12" thickBot="1">
      <c r="A75" s="153" t="s">
        <v>70</v>
      </c>
      <c r="B75" s="154">
        <v>2271264</v>
      </c>
      <c r="C75" s="154">
        <v>1385593</v>
      </c>
      <c r="D75" s="154">
        <v>1342436</v>
      </c>
      <c r="E75" s="154">
        <v>665213</v>
      </c>
      <c r="F75" s="154">
        <v>898309</v>
      </c>
      <c r="G75" s="154">
        <v>1348556</v>
      </c>
      <c r="H75" s="154">
        <v>1388468</v>
      </c>
      <c r="I75" s="154">
        <v>1154641</v>
      </c>
      <c r="J75" s="155">
        <v>1181374</v>
      </c>
      <c r="K75" s="155">
        <v>1325342</v>
      </c>
      <c r="L75" s="155">
        <v>2735428</v>
      </c>
      <c r="M75" s="155">
        <v>2159989</v>
      </c>
      <c r="N75" s="155">
        <v>1546145</v>
      </c>
      <c r="O75" s="155">
        <v>1590511</v>
      </c>
      <c r="P75" s="155">
        <v>1641568</v>
      </c>
      <c r="Q75" s="155">
        <v>1247048</v>
      </c>
      <c r="R75" s="155">
        <v>1157305</v>
      </c>
      <c r="S75" s="155">
        <v>953185</v>
      </c>
      <c r="T75" s="155">
        <v>779931</v>
      </c>
      <c r="U75" s="155">
        <v>747979</v>
      </c>
      <c r="V75" s="155">
        <v>977350</v>
      </c>
      <c r="W75" s="155">
        <v>911435</v>
      </c>
      <c r="X75" s="155">
        <v>830031</v>
      </c>
      <c r="Y75" s="155">
        <v>797169</v>
      </c>
      <c r="Z75" s="309">
        <v>925712</v>
      </c>
      <c r="AA75" s="309">
        <f>AA71+AA69+AA73</f>
        <v>769159</v>
      </c>
      <c r="AB75" s="309">
        <v>1802885</v>
      </c>
      <c r="AC75" s="309">
        <v>951247</v>
      </c>
      <c r="AD75" s="309">
        <v>1219830</v>
      </c>
      <c r="AE75" s="309">
        <f>AE69+AE71+AE73</f>
        <v>1240724</v>
      </c>
      <c r="AF75" s="309">
        <f>AF69+AF71+AF73</f>
        <v>835355</v>
      </c>
      <c r="AG75" s="309">
        <v>969992</v>
      </c>
      <c r="AH75" s="309">
        <v>829934</v>
      </c>
      <c r="AI75" s="309">
        <v>939067</v>
      </c>
      <c r="AJ75" s="155"/>
      <c r="AK75" s="154">
        <v>665213</v>
      </c>
      <c r="AL75" s="154">
        <v>1154641</v>
      </c>
      <c r="AM75" s="154">
        <v>2159989</v>
      </c>
      <c r="AN75" s="154">
        <f>Q75</f>
        <v>1247048</v>
      </c>
      <c r="AO75" s="154">
        <f>U75</f>
        <v>747979</v>
      </c>
      <c r="AP75" s="154">
        <f>Y75</f>
        <v>797169</v>
      </c>
      <c r="AQ75" s="154">
        <f>AC75</f>
        <v>951247</v>
      </c>
      <c r="AR75" s="309">
        <f>AG75</f>
        <v>969992</v>
      </c>
    </row>
    <row r="76" spans="2:39" ht="11.25">
      <c r="B76" s="88"/>
      <c r="C76" s="88"/>
      <c r="D76" s="88"/>
      <c r="E76" s="88"/>
      <c r="F76" s="88"/>
      <c r="G76" s="88"/>
      <c r="H76" s="88"/>
      <c r="I76" s="88"/>
      <c r="J76" s="88"/>
      <c r="K76" s="88"/>
      <c r="L76" s="112"/>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row>
    <row r="77" spans="1:39" ht="11.25">
      <c r="A77" s="135" t="s">
        <v>248</v>
      </c>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row>
    <row r="78" spans="2:39" ht="11.25">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row>
    <row r="79" spans="1:39" ht="11.25">
      <c r="A79" s="7"/>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row>
    <row r="80" spans="1:39" ht="11.25">
      <c r="A80" s="7"/>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row>
    <row r="81" spans="1:39" ht="11.25">
      <c r="A81" s="7"/>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row>
    <row r="82" spans="2:39" ht="11.25">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row>
    <row r="83" spans="2:39" ht="11.25">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row>
    <row r="84" spans="2:39" ht="11.25">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row>
    <row r="85" spans="2:39" ht="11.25">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row>
    <row r="86" spans="2:39" ht="11.25">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row>
    <row r="87" spans="2:39" ht="11.25">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row>
    <row r="88" spans="2:39" ht="11.25">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row>
    <row r="89" spans="2:39" ht="11.25">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row>
    <row r="90" spans="2:39" ht="11.25">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row>
    <row r="91" spans="2:39" ht="11.25">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row>
    <row r="92" spans="2:39" ht="11.25">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row>
    <row r="93" spans="1:39" ht="11.25">
      <c r="A93" s="7"/>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row>
    <row r="94" spans="1:39" ht="11.25">
      <c r="A94" s="7"/>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row>
    <row r="95" spans="2:39" ht="11.25">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row>
    <row r="96" spans="2:39" ht="11.25">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row>
    <row r="97" spans="2:39" ht="11.25">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row>
    <row r="98" spans="2:39" ht="11.25">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row>
    <row r="99" spans="2:39" ht="11.25">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row>
    <row r="100" spans="2:39" ht="11.25">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row>
    <row r="101" spans="2:39" ht="11.25">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row>
    <row r="102" spans="2:39" ht="11.25">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row>
    <row r="103" spans="2:39" ht="11.25">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row>
    <row r="104" spans="2:39" ht="11.25">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row>
    <row r="105" spans="2:39" ht="11.25">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row>
    <row r="106" spans="2:39" ht="11.25">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row>
    <row r="107" spans="2:39" ht="11.25">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row>
    <row r="108" spans="2:39" ht="11.25">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row>
    <row r="109" spans="2:39" ht="11.25">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row>
    <row r="110" spans="2:39" ht="11.25">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row>
    <row r="111" spans="2:39" ht="11.25">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row>
    <row r="112" spans="2:39" ht="11.25">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row>
    <row r="113" spans="2:39" ht="11.25">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row>
    <row r="114" spans="2:39" ht="11.25">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row>
    <row r="115" spans="2:39" ht="11.25">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row>
    <row r="116" spans="2:39" ht="11.25">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row>
    <row r="117" spans="2:39" ht="11.25">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row>
    <row r="118" spans="2:39" ht="11.25">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row>
    <row r="119" spans="2:39" ht="11.25">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row>
    <row r="120" spans="2:39" ht="11.25">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row>
    <row r="121" spans="2:39" ht="11.25">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row>
    <row r="122" spans="2:39" ht="11.25">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row>
    <row r="123" spans="2:39" ht="11.25">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row>
    <row r="124" spans="2:39" ht="11.25">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row>
    <row r="125" spans="2:39" ht="11.25">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row>
    <row r="126" spans="2:39" ht="11.25">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row>
    <row r="127" spans="2:39" ht="11.25">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row>
    <row r="128" spans="2:39" ht="11.25">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row>
    <row r="129" spans="2:39" ht="11.25">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row>
    <row r="130" spans="2:39" ht="11.25">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row>
    <row r="131" spans="2:39" ht="11.25">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row>
    <row r="132" spans="2:39" ht="11.25">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row>
    <row r="133" spans="2:39" ht="11.25">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row>
    <row r="134" spans="2:39" ht="11.25">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row>
    <row r="135" spans="2:39" ht="11.25">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row>
    <row r="136" spans="2:39" ht="11.25">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row>
    <row r="137" spans="2:39" ht="11.25">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row>
    <row r="138" spans="2:39" ht="11.25">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row>
    <row r="139" spans="2:39" ht="11.25">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row>
    <row r="140" spans="2:39" ht="11.25">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row>
    <row r="141" spans="2:39" ht="11.25">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row>
    <row r="142" spans="2:39" ht="11.25">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row>
    <row r="143" spans="2:39" ht="11.25">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row>
    <row r="144" spans="2:39" ht="11.25">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row>
    <row r="145" spans="2:39" ht="11.25">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row>
    <row r="146" spans="2:39" ht="11.25">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row>
    <row r="147" spans="2:39" ht="11.25">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row>
    <row r="148" spans="2:39" ht="11.25">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row>
    <row r="149" spans="2:39" ht="11.25">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row>
    <row r="150" spans="2:39" ht="11.25">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row>
    <row r="151" spans="2:39" ht="11.25">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row>
  </sheetData>
  <sheetProtection/>
  <printOptions/>
  <pageMargins left="0.25" right="0.25" top="0.75" bottom="0.75" header="0.3" footer="0.3"/>
  <pageSetup fitToHeight="1" fitToWidth="1" horizontalDpi="600" verticalDpi="600" orientation="landscape" paperSize="9" scale="56" r:id="rId1"/>
  <headerFooter alignWithMargins="0">
    <oddFooter>&amp;CPage &amp;P of &amp;N&amp;R&amp;F&amp;A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Mittal Steel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and operational data</dc:title>
  <dc:subject/>
  <dc:creator>takhiev@nlmk.msk.ru</dc:creator>
  <cp:keywords>financial and operational data</cp:keywords>
  <dc:description/>
  <cp:lastModifiedBy>altyn_yv</cp:lastModifiedBy>
  <cp:lastPrinted>2014-10-16T14:31:21Z</cp:lastPrinted>
  <dcterms:created xsi:type="dcterms:W3CDTF">2007-07-03T17:08:43Z</dcterms:created>
  <dcterms:modified xsi:type="dcterms:W3CDTF">2014-10-24T07:02:31Z</dcterms:modified>
  <cp:category>template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Spreadsheet_Financial &amp; operational data by segment_H1 2010.xls</vt:lpwstr>
  </property>
</Properties>
</file>